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9465" windowHeight="6720" firstSheet="1" activeTab="1"/>
  </bookViews>
  <sheets>
    <sheet name="Stream gauge 5 data" sheetId="1" state="hidden" r:id="rId1"/>
    <sheet name="Al" sheetId="2" r:id="rId2"/>
    <sheet name="Alkalinity" sheetId="3" r:id="rId3"/>
    <sheet name="Ca" sheetId="4" r:id="rId4"/>
    <sheet name="Cation to Anion ratio" sheetId="5" r:id="rId5"/>
    <sheet name="Cl" sheetId="6" r:id="rId6"/>
    <sheet name="Conductivity" sheetId="7" r:id="rId7"/>
    <sheet name="Cu" sheetId="8" r:id="rId8"/>
    <sheet name="DOC" sheetId="9" r:id="rId9"/>
    <sheet name="Fe" sheetId="10" r:id="rId10"/>
    <sheet name="Inorganic N" sheetId="11" r:id="rId11"/>
    <sheet name="H" sheetId="12" r:id="rId12"/>
    <sheet name="K" sheetId="13" r:id="rId13"/>
    <sheet name="Mg" sheetId="14" r:id="rId14"/>
    <sheet name="Mn" sheetId="15" r:id="rId15"/>
    <sheet name="Na" sheetId="16" r:id="rId16"/>
    <sheet name="Na to Cl Ratio" sheetId="17" r:id="rId17"/>
    <sheet name="NH4-N" sheetId="18" r:id="rId18"/>
    <sheet name="NO3-N" sheetId="19" r:id="rId19"/>
    <sheet name="P" sheetId="20" r:id="rId20"/>
    <sheet name="pH" sheetId="21" r:id="rId21"/>
    <sheet name="PO4-P" sheetId="22" r:id="rId22"/>
    <sheet name="S" sheetId="23" r:id="rId23"/>
    <sheet name="Si" sheetId="24" r:id="rId24"/>
    <sheet name="SO4-S" sheetId="25" r:id="rId25"/>
    <sheet name="Total Anions" sheetId="26" r:id="rId26"/>
    <sheet name="Total Cations" sheetId="27" r:id="rId27"/>
    <sheet name="Zn" sheetId="28" r:id="rId28"/>
  </sheets>
  <externalReferences>
    <externalReference r:id="rId31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comments1.xml><?xml version="1.0" encoding="utf-8"?>
<comments xmlns="http://schemas.openxmlformats.org/spreadsheetml/2006/main">
  <authors>
    <author> </author>
    <author>Macaulay Institute</author>
    <author>Sheila Gibbs</author>
  </authors>
  <commentList>
    <comment ref="U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High conductivity for blanks for following dates:-27th March'07, 10th April'07,24th April'07</t>
        </r>
      </text>
    </comment>
    <comment ref="AA4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TN analysis carried out on all stream samples from 19th/20th Sept'06</t>
        </r>
      </text>
    </comment>
    <comment ref="BA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SUM AA is missing then SUM BC has been deleted</t>
        </r>
      </text>
    </comment>
    <comment ref="BB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SUM BC missing then SUM AA has been deleted</t>
        </r>
      </text>
    </comment>
    <comment ref="BG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anions missing then cations have been deleted</t>
        </r>
      </text>
    </comment>
    <comment ref="BH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cations missing then anions have been deleted</t>
        </r>
      </text>
    </comment>
    <comment ref="C16" authorId="1">
      <text>
        <r>
          <rPr>
            <sz val="10"/>
            <rFont val="Tahoma"/>
            <family val="2"/>
          </rPr>
          <t>This sample taken by Rachel as Jo on holiday.</t>
        </r>
        <r>
          <rPr>
            <sz val="10"/>
            <rFont val="Tahoma"/>
            <family val="2"/>
          </rPr>
          <t xml:space="preserve">
</t>
        </r>
      </text>
    </comment>
    <comment ref="D16" authorId="1">
      <text>
        <r>
          <rPr>
            <b/>
            <sz val="10"/>
            <rFont val="Tahoma"/>
            <family val="2"/>
          </rPr>
          <t>This bible no. out of sequence.</t>
        </r>
        <r>
          <rPr>
            <sz val="10"/>
            <rFont val="Tahoma"/>
            <family val="2"/>
          </rPr>
          <t xml:space="preserve">
</t>
        </r>
      </text>
    </comment>
    <comment ref="C31" authorId="1">
      <text>
        <r>
          <rPr>
            <sz val="10"/>
            <rFont val="Tahoma"/>
            <family val="2"/>
          </rPr>
          <t>Sample taken just upstream from crossing.</t>
        </r>
      </text>
    </comment>
    <comment ref="D31" authorId="1">
      <text>
        <r>
          <rPr>
            <b/>
            <sz val="10"/>
            <rFont val="Tahoma"/>
            <family val="2"/>
          </rPr>
          <t>Bible no out of sequence.</t>
        </r>
        <r>
          <rPr>
            <sz val="10"/>
            <rFont val="Tahoma"/>
            <family val="2"/>
          </rPr>
          <t xml:space="preserve">
</t>
        </r>
      </text>
    </comment>
    <comment ref="J43" authorId="1">
      <text>
        <r>
          <rPr>
            <b/>
            <sz val="10"/>
            <rFont val="Tahoma"/>
            <family val="2"/>
          </rPr>
          <t>not UKAS accredited.</t>
        </r>
        <r>
          <rPr>
            <sz val="10"/>
            <rFont val="Tahoma"/>
            <family val="2"/>
          </rPr>
          <t xml:space="preserve">
</t>
        </r>
      </text>
    </comment>
    <comment ref="J44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Not UKAS accredited</t>
        </r>
      </text>
    </comment>
    <comment ref="AA46" authorId="1">
      <text>
        <r>
          <rPr>
            <b/>
            <sz val="8"/>
            <rFont val="Tahoma"/>
            <family val="2"/>
          </rPr>
          <t>Sheila Gibbs:TN now being analysed on all stream samples.</t>
        </r>
        <r>
          <rPr>
            <sz val="8"/>
            <rFont val="Tahoma"/>
            <family val="2"/>
          </rPr>
          <t xml:space="preserve">
</t>
        </r>
      </text>
    </comment>
    <comment ref="C47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Lower detection limits for ICP elements as new method(DO51) now being used. New det limits on individual worksheets.</t>
        </r>
      </text>
    </comment>
    <comment ref="C48" authorId="1">
      <text>
        <r>
          <rPr>
            <sz val="8"/>
            <rFont val="Tahoma"/>
            <family val="2"/>
          </rPr>
          <t xml:space="preserve">Waters were analysed on ICP-OES method DO13 </t>
        </r>
        <r>
          <rPr>
            <b/>
            <sz val="8"/>
            <rFont val="Tahoma"/>
            <family val="2"/>
          </rPr>
          <t xml:space="preserve">NOT </t>
        </r>
        <r>
          <rPr>
            <sz val="8"/>
            <rFont val="Tahoma"/>
            <family val="2"/>
          </rPr>
          <t>ICP-MS method DO51 hence det limits different from 31st Oct'06. Also plastering work carried out on walls adjacent to analytical as this sample was being analysed.</t>
        </r>
        <r>
          <rPr>
            <sz val="8"/>
            <rFont val="Tahoma"/>
            <family val="2"/>
          </rPr>
          <t xml:space="preserve">
</t>
        </r>
      </text>
    </comment>
    <comment ref="C49" authorId="1">
      <text>
        <r>
          <rPr>
            <sz val="8"/>
            <rFont val="Tahoma"/>
            <family val="2"/>
          </rPr>
          <t xml:space="preserve">Waters were analysed on ICP-OES method DO13 </t>
        </r>
        <r>
          <rPr>
            <b/>
            <sz val="8"/>
            <rFont val="Tahoma"/>
            <family val="2"/>
          </rPr>
          <t xml:space="preserve">NOT </t>
        </r>
        <r>
          <rPr>
            <sz val="8"/>
            <rFont val="Tahoma"/>
            <family val="2"/>
          </rPr>
          <t>ICP-MS method DO51 hence det limits different from 31st Oct'06. Also plastering work carried out on walls adjacent to analytical as this sample was being analysed.</t>
        </r>
        <r>
          <rPr>
            <sz val="8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ICP data not UKAS accredited</t>
        </r>
      </text>
    </comment>
    <comment ref="CH4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If Total Anions missing then Total Cations have been deleted</t>
        </r>
      </text>
    </comment>
    <comment ref="CI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Total Cations missing then Total Anions have been deleted</t>
        </r>
      </text>
    </comment>
    <comment ref="BO4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If Total Anions missing then Total Cations have been deleted</t>
        </r>
      </text>
    </comment>
    <comment ref="BP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Total Cations missing then Total Anions have been deleted</t>
        </r>
      </text>
    </comment>
    <comment ref="AD4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F analysis carried out after Icelandic volcanic eruption in April'10. Columns replaced on dionex so det limit changes from &lt;0.05 to &lt;0.006 from Aug'10 onwards</t>
        </r>
      </text>
    </comment>
    <comment ref="B7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Rachel to get back to me re time</t>
        </r>
      </text>
    </comment>
    <comment ref="AD93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Sample showed a Fluoride peak but it was less than LOD</t>
        </r>
      </text>
    </comment>
    <comment ref="W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Total S not accurate due to N &amp; O interference on the ICP-MS from 10th April'07 onwards. S not reported by analytical from 14th Oct'08 onwards.See Mharcaidh montane water chemistry (RAW DATA) for any reported data.</t>
        </r>
      </text>
    </comment>
    <comment ref="AT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Total S not accurate due to N &amp; O interference on the ICP-MS from 10th April'07 onwards. S not reported by analytical from 14th Oct'08 onwards.See Mharcaidh montane water chemistry (RAW DATA) for any reported data.</t>
        </r>
      </text>
    </comment>
  </commentList>
</comments>
</file>

<file path=xl/sharedStrings.xml><?xml version="1.0" encoding="utf-8"?>
<sst xmlns="http://schemas.openxmlformats.org/spreadsheetml/2006/main" count="253" uniqueCount="116">
  <si>
    <t>Fe</t>
  </si>
  <si>
    <t>Mn</t>
  </si>
  <si>
    <t>Al</t>
  </si>
  <si>
    <t>Si</t>
  </si>
  <si>
    <t>K</t>
  </si>
  <si>
    <t>Ca</t>
  </si>
  <si>
    <t>Mg</t>
  </si>
  <si>
    <t>Na</t>
  </si>
  <si>
    <t>Cl</t>
  </si>
  <si>
    <t>pH</t>
  </si>
  <si>
    <t>Temp</t>
  </si>
  <si>
    <t>Cond</t>
  </si>
  <si>
    <t>P</t>
  </si>
  <si>
    <t>S</t>
  </si>
  <si>
    <t>Cu</t>
  </si>
  <si>
    <t>Zn</t>
  </si>
  <si>
    <t>Date</t>
  </si>
  <si>
    <t>H</t>
  </si>
  <si>
    <r>
      <t>ueql</t>
    </r>
    <r>
      <rPr>
        <b/>
        <vertAlign val="superscript"/>
        <sz val="10"/>
        <rFont val="Arial"/>
        <family val="2"/>
      </rPr>
      <t>-1</t>
    </r>
  </si>
  <si>
    <t>Inorganic N</t>
  </si>
  <si>
    <r>
      <t>mgl</t>
    </r>
    <r>
      <rPr>
        <b/>
        <vertAlign val="superscript"/>
        <sz val="10"/>
        <rFont val="Arial"/>
        <family val="2"/>
      </rPr>
      <t>-1</t>
    </r>
  </si>
  <si>
    <r>
      <t>ueql</t>
    </r>
    <r>
      <rPr>
        <b/>
        <vertAlign val="superscript"/>
        <sz val="10"/>
        <rFont val="Arial"/>
        <family val="2"/>
      </rPr>
      <t>-1</t>
    </r>
  </si>
  <si>
    <t>GMT</t>
  </si>
  <si>
    <t>DOC</t>
  </si>
  <si>
    <r>
      <t>mgl</t>
    </r>
    <r>
      <rPr>
        <b/>
        <vertAlign val="superscript"/>
        <sz val="10"/>
        <rFont val="Arial"/>
        <family val="2"/>
      </rPr>
      <t>-1</t>
    </r>
  </si>
  <si>
    <t>Mharcaidh Montane Project</t>
  </si>
  <si>
    <t>Cells with fill colour red contain values which have been deleted from further analysis.</t>
  </si>
  <si>
    <t>QV values have been deleted where outlying data has been removed up to and including 12th December'07</t>
  </si>
  <si>
    <t>Click on cell to view deleted data.</t>
  </si>
  <si>
    <t>Sample Nos.</t>
  </si>
  <si>
    <t>Bible Nos</t>
  </si>
  <si>
    <t>Height</t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</si>
  <si>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0"/>
      </rPr>
      <t>-N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</si>
  <si>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0"/>
      </rPr>
      <t>-N</t>
    </r>
  </si>
  <si>
    <r>
      <t>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0"/>
      </rPr>
      <t>-P</t>
    </r>
  </si>
  <si>
    <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0"/>
      </rPr>
      <t>-S</t>
    </r>
  </si>
  <si>
    <t>Total N(filtered)</t>
  </si>
  <si>
    <t>Org N(calc)</t>
  </si>
  <si>
    <t>Total N(unfiltered)</t>
  </si>
  <si>
    <t>%</t>
  </si>
  <si>
    <t>µmolc L–1</t>
  </si>
  <si>
    <t>µmol L–1</t>
  </si>
  <si>
    <t>Comments</t>
  </si>
  <si>
    <t>cms</t>
  </si>
  <si>
    <r>
      <t>mgl-1</t>
    </r>
  </si>
  <si>
    <r>
      <t>o</t>
    </r>
    <r>
      <rPr>
        <b/>
        <sz val="10"/>
        <rFont val="Arial"/>
        <family val="0"/>
      </rPr>
      <t>C</t>
    </r>
  </si>
  <si>
    <t>uS/cm</t>
  </si>
  <si>
    <r>
      <t>mgl</t>
    </r>
    <r>
      <rPr>
        <b/>
        <vertAlign val="superscript"/>
        <sz val="10"/>
        <color indexed="10"/>
        <rFont val="Arial"/>
        <family val="2"/>
      </rPr>
      <t>-1</t>
    </r>
  </si>
  <si>
    <r>
      <t>ueql</t>
    </r>
    <r>
      <rPr>
        <b/>
        <vertAlign val="superscript"/>
        <sz val="10"/>
        <rFont val="Arial"/>
        <family val="2"/>
      </rPr>
      <t>-1</t>
    </r>
  </si>
  <si>
    <r>
      <t>ueql</t>
    </r>
    <r>
      <rPr>
        <b/>
        <vertAlign val="superscript"/>
        <sz val="10"/>
        <color indexed="10"/>
        <rFont val="Arial"/>
        <family val="2"/>
      </rPr>
      <t>-1</t>
    </r>
  </si>
  <si>
    <t>Sum BC</t>
  </si>
  <si>
    <t>Sum AA</t>
  </si>
  <si>
    <t>EXC</t>
  </si>
  <si>
    <t>HCO3</t>
  </si>
  <si>
    <t>ORG-OLV</t>
  </si>
  <si>
    <t>ANC</t>
  </si>
  <si>
    <t>CATION</t>
  </si>
  <si>
    <t>ANION</t>
  </si>
  <si>
    <t>ALTOT</t>
  </si>
  <si>
    <t>ORGCHG</t>
  </si>
  <si>
    <t>mDOC</t>
  </si>
  <si>
    <t>Detection Limits</t>
  </si>
  <si>
    <t>No data</t>
  </si>
  <si>
    <t>Snow lying in the catchment to some degree above the tree-line.</t>
  </si>
  <si>
    <t>Sparse snow patches in upper areas of the catchment.All catchment streams in light spate due to recent snow melt.</t>
  </si>
  <si>
    <t>Fresh snow lying above 2000ft.</t>
  </si>
  <si>
    <t>All snow now melted. No snow remains in the Mharcaidh catchment.</t>
  </si>
  <si>
    <t>Used different type filter paper.</t>
  </si>
  <si>
    <t>This sample taken by Malcolm as Jo on holiday</t>
  </si>
  <si>
    <t>Stream Gauge 5 (Allt Nan Cuileach)</t>
  </si>
  <si>
    <t>G5-88</t>
  </si>
  <si>
    <t>G5-93</t>
  </si>
  <si>
    <t>G5-98</t>
  </si>
  <si>
    <t xml:space="preserve">All catchment streams in moderate spate due to recent rain. </t>
  </si>
  <si>
    <t>G5-103</t>
  </si>
  <si>
    <t>Recent snow lying above 2600ft in the catchment.</t>
  </si>
  <si>
    <t>G5-108</t>
  </si>
  <si>
    <t>No snow lying in the catchment.</t>
  </si>
  <si>
    <t>G5-113</t>
  </si>
  <si>
    <t>Snow lying over the whole catchment.</t>
  </si>
  <si>
    <t>G5-118</t>
  </si>
  <si>
    <t>Allt nan Cuileach in moderate spate due to recent rain and snow melt.Catchment 15% patchy snow cover mainly above 2500ft.</t>
  </si>
  <si>
    <t>G5-123</t>
  </si>
  <si>
    <t>Snow lying over much of the catchment to some degree above the tree-line.</t>
  </si>
  <si>
    <t>G-5</t>
  </si>
  <si>
    <t>G5</t>
  </si>
  <si>
    <t>G5-128</t>
  </si>
  <si>
    <t>G5-133</t>
  </si>
  <si>
    <t>G5-138</t>
  </si>
  <si>
    <t>G5-143</t>
  </si>
  <si>
    <t>Snow patches lying above 2500ft. in catchment but none in this stream source.</t>
  </si>
  <si>
    <t>G5-148</t>
  </si>
  <si>
    <t>Some old winter snow patches lying in the upper catchment but not affecting this run-off.</t>
  </si>
  <si>
    <t>G5-153</t>
  </si>
  <si>
    <t>Fresh snow lying in the catchment above 2500ft.</t>
  </si>
  <si>
    <t>G5-158</t>
  </si>
  <si>
    <t>Dusting of fresh snow lying on Sgoran Dubh summit.Not affecting this stream's catchment.All winter snow patches now melted.</t>
  </si>
  <si>
    <t>G5-163</t>
  </si>
  <si>
    <t>G5-168</t>
  </si>
  <si>
    <t>G5-173</t>
  </si>
  <si>
    <t>All streams in the Mharcaidh catchment low.</t>
  </si>
  <si>
    <t>G5-178</t>
  </si>
  <si>
    <t>All catchment streams low.</t>
  </si>
  <si>
    <t>G5-183</t>
  </si>
  <si>
    <t>Allt a' Mharcaidh catchment streams low.</t>
  </si>
  <si>
    <t>G5-188</t>
  </si>
  <si>
    <t>G5-193</t>
  </si>
  <si>
    <t>LAST G5 SAMPLING BY JO</t>
  </si>
  <si>
    <t>Total Cations</t>
  </si>
  <si>
    <t>Total Anions</t>
  </si>
  <si>
    <t>C:A</t>
  </si>
  <si>
    <t>Alkalinity</t>
  </si>
  <si>
    <t>Na:Cl</t>
  </si>
  <si>
    <t>F</t>
  </si>
  <si>
    <t>&lt;0.05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</si>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</sst>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0"/>
    <numFmt numFmtId="175" formatCode="0.00000"/>
    <numFmt numFmtId="176" formatCode="0.0"/>
    <numFmt numFmtId="177" formatCode="[$-809]dd\ mmmm\ yyyy"/>
    <numFmt numFmtId="178" formatCode="&quot;$&quot;#,##0.00"/>
    <numFmt numFmtId="179" formatCode="mmmm\ d\,\ yyyy"/>
    <numFmt numFmtId="180" formatCode="d\-mmm\-yyyy"/>
    <numFmt numFmtId="181" formatCode="mmm\-yyyy"/>
    <numFmt numFmtId="182" formatCode="0.0%"/>
    <numFmt numFmtId="183" formatCode="0_)"/>
    <numFmt numFmtId="184" formatCode="0.00%_)"/>
    <numFmt numFmtId="185" formatCode="[$-409]dddd\,\ mmmm\ dd\,\ yyyy"/>
    <numFmt numFmtId="186" formatCode="m/d/yyyy_)"/>
    <numFmt numFmtId="187" formatCode="0.00?%_)"/>
    <numFmt numFmtId="188" formatCode="0.0??%_)"/>
    <numFmt numFmtId="189" formatCode="000000"/>
    <numFmt numFmtId="190" formatCode="yyyy"/>
    <numFmt numFmtId="191" formatCode="0.####"/>
    <numFmt numFmtId="192" formatCode="0.#"/>
    <numFmt numFmtId="193" formatCode="0.###"/>
    <numFmt numFmtId="194" formatCode="0.##"/>
    <numFmt numFmtId="195" formatCode="0.#####"/>
    <numFmt numFmtId="196" formatCode="0.########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i/>
      <u val="single"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10"/>
      <name val="Tahoma"/>
      <family val="2"/>
    </font>
    <font>
      <u val="single"/>
      <sz val="10"/>
      <color indexed="10"/>
      <name val="Arial"/>
      <family val="2"/>
    </font>
    <font>
      <b/>
      <u val="single"/>
      <sz val="11"/>
      <color indexed="14"/>
      <name val="Arial"/>
      <family val="2"/>
    </font>
    <font>
      <b/>
      <sz val="10"/>
      <color indexed="14"/>
      <name val="Arial"/>
      <family val="2"/>
    </font>
    <font>
      <u val="single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u val="single"/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i/>
      <sz val="8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.8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vertAlign val="superscript"/>
      <sz val="1.25"/>
      <color indexed="8"/>
      <name val="Arial"/>
      <family val="0"/>
    </font>
    <font>
      <b/>
      <sz val="1.5"/>
      <color indexed="8"/>
      <name val="Arial"/>
      <family val="0"/>
    </font>
    <font>
      <b/>
      <vertAlign val="subscript"/>
      <sz val="1.5"/>
      <color indexed="8"/>
      <name val="Arial"/>
      <family val="0"/>
    </font>
    <font>
      <sz val="8"/>
      <color indexed="8"/>
      <name val="Arial"/>
      <family val="0"/>
    </font>
    <font>
      <b/>
      <vertAlign val="subscript"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173" fontId="1" fillId="0" borderId="0" xfId="0" applyNumberFormat="1" applyFont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35" borderId="0" xfId="0" applyFont="1" applyFill="1" applyBorder="1" applyAlignment="1">
      <alignment/>
    </xf>
    <xf numFmtId="2" fontId="0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5" fontId="0" fillId="0" borderId="0" xfId="0" applyNumberFormat="1" applyFont="1" applyAlignment="1">
      <alignment/>
    </xf>
    <xf numFmtId="1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5" fontId="0" fillId="0" borderId="0" xfId="0" applyNumberFormat="1" applyFont="1" applyAlignment="1">
      <alignment horizontal="center"/>
    </xf>
    <xf numFmtId="193" fontId="0" fillId="0" borderId="0" xfId="0" applyNumberFormat="1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9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9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2" fontId="11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36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35" borderId="0" xfId="0" applyFill="1" applyAlignment="1">
      <alignment/>
    </xf>
    <xf numFmtId="0" fontId="18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89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72" fontId="11" fillId="0" borderId="0" xfId="0" applyNumberFormat="1" applyFont="1" applyFill="1" applyAlignment="1">
      <alignment horizontal="left"/>
    </xf>
    <xf numFmtId="173" fontId="1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93" fontId="0" fillId="0" borderId="0" xfId="0" applyNumberFormat="1" applyFont="1" applyFill="1" applyAlignment="1">
      <alignment horizontal="center"/>
    </xf>
    <xf numFmtId="19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Font="1" applyFill="1" applyAlignment="1">
      <alignment horizontal="center"/>
    </xf>
    <xf numFmtId="172" fontId="0" fillId="0" borderId="0" xfId="0" applyNumberFormat="1" applyFont="1" applyAlignment="1">
      <alignment horizontal="center"/>
    </xf>
    <xf numFmtId="19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191" fontId="0" fillId="0" borderId="0" xfId="0" applyNumberFormat="1" applyAlignment="1">
      <alignment horizontal="center"/>
    </xf>
    <xf numFmtId="19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5" fontId="0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5" fontId="0" fillId="0" borderId="0" xfId="0" applyNumberFormat="1" applyFont="1" applyFill="1" applyAlignment="1">
      <alignment/>
    </xf>
    <xf numFmtId="0" fontId="23" fillId="0" borderId="0" xfId="0" applyFont="1" applyAlignment="1">
      <alignment horizontal="left"/>
    </xf>
    <xf numFmtId="172" fontId="24" fillId="0" borderId="0" xfId="0" applyNumberFormat="1" applyFont="1" applyFill="1" applyAlignment="1">
      <alignment horizontal="left"/>
    </xf>
    <xf numFmtId="173" fontId="11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/>
    </xf>
    <xf numFmtId="173" fontId="25" fillId="0" borderId="0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173" fontId="2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5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5" fontId="1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3" fontId="8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3" fontId="0" fillId="0" borderId="0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Fill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0" xfId="0" applyFont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56" applyAlignment="1">
      <alignment horizontal="center"/>
      <protection/>
    </xf>
    <xf numFmtId="194" fontId="0" fillId="0" borderId="0" xfId="56" applyNumberFormat="1" applyFont="1" applyFill="1" applyBorder="1" applyAlignment="1" applyProtection="1">
      <alignment horizontal="center"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15" fontId="1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93" fontId="0" fillId="0" borderId="10" xfId="0" applyNumberFormat="1" applyFont="1" applyFill="1" applyBorder="1" applyAlignment="1" applyProtection="1">
      <alignment horizontal="center"/>
      <protection/>
    </xf>
    <xf numFmtId="173" fontId="1" fillId="0" borderId="0" xfId="0" applyNumberFormat="1" applyFont="1" applyAlignment="1">
      <alignment/>
    </xf>
    <xf numFmtId="172" fontId="0" fillId="0" borderId="0" xfId="0" applyNumberFormat="1" applyFont="1" applyFill="1" applyBorder="1" applyAlignment="1" applyProtection="1">
      <alignment horizontal="center"/>
      <protection/>
    </xf>
    <xf numFmtId="172" fontId="26" fillId="0" borderId="0" xfId="56" applyNumberFormat="1" applyFont="1" applyFill="1" applyBorder="1" applyAlignment="1" applyProtection="1">
      <alignment horizontal="center"/>
      <protection/>
    </xf>
    <xf numFmtId="172" fontId="0" fillId="0" borderId="0" xfId="56" applyNumberFormat="1" applyFont="1" applyFill="1" applyBorder="1" applyAlignment="1" applyProtection="1">
      <alignment horizontal="center"/>
      <protection/>
    </xf>
    <xf numFmtId="172" fontId="0" fillId="0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56" applyNumberFormat="1" applyAlignment="1">
      <alignment horizontal="center"/>
      <protection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172" fontId="0" fillId="0" borderId="0" xfId="0" applyNumberFormat="1" applyFill="1" applyAlignment="1">
      <alignment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Fill="1" applyAlignment="1">
      <alignment horizontal="center"/>
    </xf>
    <xf numFmtId="172" fontId="0" fillId="0" borderId="0" xfId="0" applyNumberFormat="1" applyAlignment="1">
      <alignment horizontal="center" vertical="center"/>
    </xf>
    <xf numFmtId="172" fontId="0" fillId="0" borderId="0" xfId="55" applyNumberFormat="1" applyAlignment="1">
      <alignment horizontal="center"/>
      <protection/>
    </xf>
    <xf numFmtId="172" fontId="0" fillId="0" borderId="0" xfId="56" applyNumberFormat="1" applyFont="1" applyBorder="1" applyAlignment="1">
      <alignment horizontal="center"/>
      <protection/>
    </xf>
    <xf numFmtId="172" fontId="0" fillId="0" borderId="0" xfId="56" applyNumberFormat="1" applyFont="1" applyAlignment="1">
      <alignment horizontal="center"/>
      <protection/>
    </xf>
    <xf numFmtId="172" fontId="0" fillId="0" borderId="0" xfId="56" applyNumberFormat="1">
      <alignment/>
      <protection/>
    </xf>
    <xf numFmtId="172" fontId="0" fillId="0" borderId="0" xfId="0" applyNumberFormat="1" applyFont="1" applyAlignment="1">
      <alignment horizontal="center"/>
    </xf>
    <xf numFmtId="172" fontId="73" fillId="0" borderId="0" xfId="0" applyNumberFormat="1" applyFont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 page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data'!$AG$8:$AG$105</c:f>
              <c:numCache>
                <c:ptCount val="98"/>
                <c:pt idx="0">
                  <c:v>18.166666666666668</c:v>
                </c:pt>
                <c:pt idx="1">
                  <c:v>7.155555555555556</c:v>
                </c:pt>
                <c:pt idx="2">
                  <c:v>21.433333333333334</c:v>
                </c:pt>
                <c:pt idx="3">
                  <c:v>16.844444444444445</c:v>
                </c:pt>
                <c:pt idx="4">
                  <c:v>4.811111111111111</c:v>
                </c:pt>
                <c:pt idx="5">
                  <c:v>19.066666666666666</c:v>
                </c:pt>
                <c:pt idx="6">
                  <c:v>13.677777777777779</c:v>
                </c:pt>
                <c:pt idx="7">
                  <c:v>5.688888888888889</c:v>
                </c:pt>
                <c:pt idx="8">
                  <c:v>14.766666666666666</c:v>
                </c:pt>
                <c:pt idx="9">
                  <c:v>3.111111111111111</c:v>
                </c:pt>
                <c:pt idx="10">
                  <c:v>5.444444444444445</c:v>
                </c:pt>
                <c:pt idx="11">
                  <c:v>4.4222222222222225</c:v>
                </c:pt>
                <c:pt idx="12">
                  <c:v>12.011111111111111</c:v>
                </c:pt>
                <c:pt idx="13">
                  <c:v>8.188888888888888</c:v>
                </c:pt>
                <c:pt idx="14">
                  <c:v>6.688888888888888</c:v>
                </c:pt>
                <c:pt idx="15">
                  <c:v>2.4999999999999996</c:v>
                </c:pt>
                <c:pt idx="16">
                  <c:v>25.08888888888889</c:v>
                </c:pt>
                <c:pt idx="17">
                  <c:v>24.466666666666672</c:v>
                </c:pt>
                <c:pt idx="18">
                  <c:v>3.177777777777778</c:v>
                </c:pt>
                <c:pt idx="19">
                  <c:v>2.2444444444444445</c:v>
                </c:pt>
                <c:pt idx="20">
                  <c:v>2.2255555555555553</c:v>
                </c:pt>
                <c:pt idx="21">
                  <c:v>2.227777777777778</c:v>
                </c:pt>
                <c:pt idx="22">
                  <c:v>5.666666666666666</c:v>
                </c:pt>
                <c:pt idx="23">
                  <c:v>8.922222222222222</c:v>
                </c:pt>
                <c:pt idx="24">
                  <c:v>4.855555555555556</c:v>
                </c:pt>
                <c:pt idx="25">
                  <c:v>11.466666666666667</c:v>
                </c:pt>
                <c:pt idx="26">
                  <c:v>18.611111111111114</c:v>
                </c:pt>
                <c:pt idx="27">
                  <c:v>13.58888888888889</c:v>
                </c:pt>
                <c:pt idx="28">
                  <c:v>7.422222222222222</c:v>
                </c:pt>
                <c:pt idx="29">
                  <c:v>2.966666666666667</c:v>
                </c:pt>
                <c:pt idx="30">
                  <c:v>5.177777777777779</c:v>
                </c:pt>
                <c:pt idx="31">
                  <c:v>12.266666666666666</c:v>
                </c:pt>
                <c:pt idx="32">
                  <c:v>7.933333333333334</c:v>
                </c:pt>
                <c:pt idx="33">
                  <c:v>8.055555555555555</c:v>
                </c:pt>
                <c:pt idx="34">
                  <c:v>2.232222222222222</c:v>
                </c:pt>
                <c:pt idx="35">
                  <c:v>14.422222222222222</c:v>
                </c:pt>
                <c:pt idx="36">
                  <c:v>2.2222222222222223</c:v>
                </c:pt>
                <c:pt idx="37">
                  <c:v>32.33333333333333</c:v>
                </c:pt>
                <c:pt idx="38">
                  <c:v>15.333333333333334</c:v>
                </c:pt>
                <c:pt idx="39">
                  <c:v>36.266666666666666</c:v>
                </c:pt>
                <c:pt idx="40">
                  <c:v>9.222222222222221</c:v>
                </c:pt>
                <c:pt idx="41">
                  <c:v>15.333333333333334</c:v>
                </c:pt>
                <c:pt idx="42">
                  <c:v>11.922222222222222</c:v>
                </c:pt>
                <c:pt idx="43">
                  <c:v>2.4155555555555552</c:v>
                </c:pt>
                <c:pt idx="44">
                  <c:v>2.2222222222222223</c:v>
                </c:pt>
                <c:pt idx="45">
                  <c:v>5.1466666666666665</c:v>
                </c:pt>
                <c:pt idx="46">
                  <c:v>6.500000000000001</c:v>
                </c:pt>
                <c:pt idx="47">
                  <c:v>10.36222222222222</c:v>
                </c:pt>
                <c:pt idx="48">
                  <c:v>5.076666666666667</c:v>
                </c:pt>
                <c:pt idx="49">
                  <c:v>6.70888888888889</c:v>
                </c:pt>
                <c:pt idx="50">
                  <c:v>5.598888888888888</c:v>
                </c:pt>
                <c:pt idx="51">
                  <c:v>9.478888888888887</c:v>
                </c:pt>
                <c:pt idx="52">
                  <c:v>2.632222222222222</c:v>
                </c:pt>
                <c:pt idx="53">
                  <c:v>7.232222222222221</c:v>
                </c:pt>
                <c:pt idx="54">
                  <c:v>8.665555555555555</c:v>
                </c:pt>
                <c:pt idx="55">
                  <c:v>6.513333333333333</c:v>
                </c:pt>
                <c:pt idx="56">
                  <c:v>12.2</c:v>
                </c:pt>
                <c:pt idx="57">
                  <c:v>5.565555555555555</c:v>
                </c:pt>
                <c:pt idx="58">
                  <c:v>2.4066666666666663</c:v>
                </c:pt>
                <c:pt idx="59">
                  <c:v>11.755555555555556</c:v>
                </c:pt>
                <c:pt idx="60">
                  <c:v>6.353333333333334</c:v>
                </c:pt>
                <c:pt idx="61">
                  <c:v>17.433333333333337</c:v>
                </c:pt>
                <c:pt idx="62">
                  <c:v>8.177777777777777</c:v>
                </c:pt>
                <c:pt idx="63">
                  <c:v>6.704444444444445</c:v>
                </c:pt>
                <c:pt idx="64">
                  <c:v>18.51111111111111</c:v>
                </c:pt>
                <c:pt idx="65">
                  <c:v>5.9222222222222225</c:v>
                </c:pt>
                <c:pt idx="66">
                  <c:v>5.044444444444444</c:v>
                </c:pt>
                <c:pt idx="67">
                  <c:v>20.51111111111111</c:v>
                </c:pt>
                <c:pt idx="68">
                  <c:v>7.13</c:v>
                </c:pt>
                <c:pt idx="69">
                  <c:v>3.1977777777777776</c:v>
                </c:pt>
                <c:pt idx="70">
                  <c:v>2.8455555555555554</c:v>
                </c:pt>
                <c:pt idx="71">
                  <c:v>2.677777777777778</c:v>
                </c:pt>
                <c:pt idx="72">
                  <c:v>2.436666666666667</c:v>
                </c:pt>
                <c:pt idx="73">
                  <c:v>9.743333333333332</c:v>
                </c:pt>
                <c:pt idx="74">
                  <c:v>16.6</c:v>
                </c:pt>
                <c:pt idx="75">
                  <c:v>3.8433333333333333</c:v>
                </c:pt>
                <c:pt idx="76">
                  <c:v>12.1</c:v>
                </c:pt>
                <c:pt idx="77">
                  <c:v>7.886666666666667</c:v>
                </c:pt>
                <c:pt idx="78">
                  <c:v>9.86888888888889</c:v>
                </c:pt>
                <c:pt idx="79">
                  <c:v>10.631111111111112</c:v>
                </c:pt>
                <c:pt idx="80">
                  <c:v>9.653333333333332</c:v>
                </c:pt>
                <c:pt idx="81">
                  <c:v>9.212222222222222</c:v>
                </c:pt>
                <c:pt idx="82">
                  <c:v>7.554444444444443</c:v>
                </c:pt>
                <c:pt idx="83">
                  <c:v>4.168888888888889</c:v>
                </c:pt>
                <c:pt idx="84">
                  <c:v>2.302222222222222</c:v>
                </c:pt>
                <c:pt idx="85">
                  <c:v>32.044444444444444</c:v>
                </c:pt>
                <c:pt idx="86">
                  <c:v>2.2888888888888888</c:v>
                </c:pt>
                <c:pt idx="87">
                  <c:v>38.06666666666667</c:v>
                </c:pt>
                <c:pt idx="88">
                  <c:v>11.555555555555555</c:v>
                </c:pt>
                <c:pt idx="89">
                  <c:v>10.137777777777778</c:v>
                </c:pt>
                <c:pt idx="90">
                  <c:v>3.8888888888888897</c:v>
                </c:pt>
                <c:pt idx="91">
                  <c:v>20.31111111111111</c:v>
                </c:pt>
                <c:pt idx="92">
                  <c:v>9.343333333333334</c:v>
                </c:pt>
                <c:pt idx="93">
                  <c:v>5.316666666666666</c:v>
                </c:pt>
                <c:pt idx="94">
                  <c:v>13.599999999999998</c:v>
                </c:pt>
                <c:pt idx="95">
                  <c:v>14.766666666666666</c:v>
                </c:pt>
                <c:pt idx="96">
                  <c:v>3.14</c:v>
                </c:pt>
                <c:pt idx="97">
                  <c:v>6.248888888888889</c:v>
                </c:pt>
              </c:numCache>
            </c:numRef>
          </c:val>
          <c:smooth val="0"/>
        </c:ser>
        <c:marker val="1"/>
        <c:axId val="14818553"/>
        <c:axId val="66258114"/>
      </c:lineChart>
      <c:dateAx>
        <c:axId val="14818553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11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6258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18553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H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125"/>
          <c:w val="0.08975"/>
          <c:h val="0.82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222243"/>
        <c:axId val="6891324"/>
      </c:lineChart>
      <c:catAx>
        <c:axId val="8222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1324"/>
        <c:crosses val="autoZero"/>
        <c:auto val="1"/>
        <c:lblOffset val="100"/>
        <c:tickLblSkip val="1"/>
        <c:noMultiLvlLbl val="0"/>
      </c:catAx>
      <c:valAx>
        <c:axId val="689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2243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Inorganic 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data'!$AZ$8:$AZ$105</c:f>
              <c:numCache>
                <c:ptCount val="98"/>
                <c:pt idx="0">
                  <c:v>3.479521428571428</c:v>
                </c:pt>
                <c:pt idx="1">
                  <c:v>5.327857142857143</c:v>
                </c:pt>
                <c:pt idx="2">
                  <c:v>7.981428571428571</c:v>
                </c:pt>
                <c:pt idx="3">
                  <c:v>7.774285714285715</c:v>
                </c:pt>
                <c:pt idx="4">
                  <c:v>8.119285714285715</c:v>
                </c:pt>
                <c:pt idx="5">
                  <c:v>8.685714285714287</c:v>
                </c:pt>
                <c:pt idx="6">
                  <c:v>4.21</c:v>
                </c:pt>
                <c:pt idx="7">
                  <c:v>5.997142857142858</c:v>
                </c:pt>
                <c:pt idx="8">
                  <c:v>4.574285714285715</c:v>
                </c:pt>
                <c:pt idx="9">
                  <c:v>7.7857142857142865</c:v>
                </c:pt>
                <c:pt idx="10">
                  <c:v>2.505357142857143</c:v>
                </c:pt>
                <c:pt idx="11">
                  <c:v>2.508621428571429</c:v>
                </c:pt>
                <c:pt idx="12">
                  <c:v>2.503257142857143</c:v>
                </c:pt>
                <c:pt idx="13">
                  <c:v>2.502857142857143</c:v>
                </c:pt>
                <c:pt idx="14">
                  <c:v>2.506592857142857</c:v>
                </c:pt>
                <c:pt idx="15">
                  <c:v>2.5</c:v>
                </c:pt>
                <c:pt idx="16">
                  <c:v>2.50685</c:v>
                </c:pt>
                <c:pt idx="17">
                  <c:v>2.5142857142857142</c:v>
                </c:pt>
                <c:pt idx="18">
                  <c:v>2.5042857142857144</c:v>
                </c:pt>
                <c:pt idx="19">
                  <c:v>2.5109285714285714</c:v>
                </c:pt>
                <c:pt idx="20">
                  <c:v>3.5141428571428572</c:v>
                </c:pt>
                <c:pt idx="21">
                  <c:v>2.5059642857142856</c:v>
                </c:pt>
                <c:pt idx="22">
                  <c:v>2.501735714285714</c:v>
                </c:pt>
                <c:pt idx="23">
                  <c:v>2.5</c:v>
                </c:pt>
                <c:pt idx="24">
                  <c:v>2.5</c:v>
                </c:pt>
                <c:pt idx="25">
                  <c:v>3.974285714285714</c:v>
                </c:pt>
                <c:pt idx="26">
                  <c:v>6.635</c:v>
                </c:pt>
                <c:pt idx="27">
                  <c:v>4.135000000000001</c:v>
                </c:pt>
                <c:pt idx="28">
                  <c:v>6.640000000000001</c:v>
                </c:pt>
                <c:pt idx="29">
                  <c:v>6.970714285714286</c:v>
                </c:pt>
                <c:pt idx="30">
                  <c:v>7.539285714285715</c:v>
                </c:pt>
                <c:pt idx="31">
                  <c:v>3.701428571428572</c:v>
                </c:pt>
                <c:pt idx="32">
                  <c:v>2.504</c:v>
                </c:pt>
                <c:pt idx="33">
                  <c:v>23.215785714285712</c:v>
                </c:pt>
                <c:pt idx="34">
                  <c:v>5.359792857142858</c:v>
                </c:pt>
                <c:pt idx="35">
                  <c:v>2.5</c:v>
                </c:pt>
                <c:pt idx="36">
                  <c:v>2.859285714285714</c:v>
                </c:pt>
                <c:pt idx="37">
                  <c:v>2.5</c:v>
                </c:pt>
                <c:pt idx="38">
                  <c:v>3.071428571428571</c:v>
                </c:pt>
                <c:pt idx="39">
                  <c:v>3.6428571428571432</c:v>
                </c:pt>
                <c:pt idx="40">
                  <c:v>4.571428571428571</c:v>
                </c:pt>
                <c:pt idx="41">
                  <c:v>3.1428571428571432</c:v>
                </c:pt>
                <c:pt idx="42">
                  <c:v>6.865714285714286</c:v>
                </c:pt>
                <c:pt idx="43">
                  <c:v>4.785714285714286</c:v>
                </c:pt>
                <c:pt idx="44">
                  <c:v>3</c:v>
                </c:pt>
                <c:pt idx="45">
                  <c:v>5.5</c:v>
                </c:pt>
                <c:pt idx="46">
                  <c:v>5.857142857142857</c:v>
                </c:pt>
                <c:pt idx="47">
                  <c:v>3</c:v>
                </c:pt>
                <c:pt idx="48">
                  <c:v>2.5</c:v>
                </c:pt>
                <c:pt idx="49">
                  <c:v>2.5</c:v>
                </c:pt>
                <c:pt idx="50">
                  <c:v>3.5</c:v>
                </c:pt>
                <c:pt idx="51">
                  <c:v>4.619285714285715</c:v>
                </c:pt>
                <c:pt idx="52">
                  <c:v>4.655714285714286</c:v>
                </c:pt>
                <c:pt idx="53">
                  <c:v>2.8235714285714284</c:v>
                </c:pt>
                <c:pt idx="54">
                  <c:v>4.6121428571428575</c:v>
                </c:pt>
                <c:pt idx="55">
                  <c:v>2.542857142857143</c:v>
                </c:pt>
                <c:pt idx="56">
                  <c:v>5.2164285714285725</c:v>
                </c:pt>
                <c:pt idx="57">
                  <c:v>4.993571428571428</c:v>
                </c:pt>
                <c:pt idx="58">
                  <c:v>4.546428571428572</c:v>
                </c:pt>
                <c:pt idx="59">
                  <c:v>2.875</c:v>
                </c:pt>
                <c:pt idx="60">
                  <c:v>2.5014285714285713</c:v>
                </c:pt>
                <c:pt idx="61">
                  <c:v>2.5</c:v>
                </c:pt>
                <c:pt idx="62">
                  <c:v>3.3814285714285717</c:v>
                </c:pt>
                <c:pt idx="63">
                  <c:v>2.562785714285714</c:v>
                </c:pt>
                <c:pt idx="64">
                  <c:v>2.7246428571428574</c:v>
                </c:pt>
                <c:pt idx="65">
                  <c:v>4.433571428571428</c:v>
                </c:pt>
                <c:pt idx="66">
                  <c:v>3.388571428571429</c:v>
                </c:pt>
                <c:pt idx="67">
                  <c:v>2.5</c:v>
                </c:pt>
                <c:pt idx="68">
                  <c:v>2.5565</c:v>
                </c:pt>
                <c:pt idx="69">
                  <c:v>2.5077857142857143</c:v>
                </c:pt>
                <c:pt idx="70">
                  <c:v>2.5582142857142856</c:v>
                </c:pt>
                <c:pt idx="71">
                  <c:v>2.528642857142857</c:v>
                </c:pt>
                <c:pt idx="72">
                  <c:v>3.2857142857142856</c:v>
                </c:pt>
                <c:pt idx="73">
                  <c:v>3.018642857142857</c:v>
                </c:pt>
                <c:pt idx="74">
                  <c:v>2.928571428571429</c:v>
                </c:pt>
                <c:pt idx="75">
                  <c:v>3.0379285714285715</c:v>
                </c:pt>
                <c:pt idx="76">
                  <c:v>2.5492142857142857</c:v>
                </c:pt>
                <c:pt idx="77">
                  <c:v>3.2035714285714287</c:v>
                </c:pt>
                <c:pt idx="78">
                  <c:v>3.810714285714286</c:v>
                </c:pt>
                <c:pt idx="79">
                  <c:v>6.197142857142857</c:v>
                </c:pt>
                <c:pt idx="80">
                  <c:v>5.05</c:v>
                </c:pt>
                <c:pt idx="81">
                  <c:v>4.51</c:v>
                </c:pt>
                <c:pt idx="82">
                  <c:v>3.642142857142857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2.5682142857142853</c:v>
                </c:pt>
                <c:pt idx="88">
                  <c:v>3.4799999999999995</c:v>
                </c:pt>
                <c:pt idx="89">
                  <c:v>2.5</c:v>
                </c:pt>
                <c:pt idx="90">
                  <c:v>4.081428571428571</c:v>
                </c:pt>
                <c:pt idx="91">
                  <c:v>2.513642857142857</c:v>
                </c:pt>
                <c:pt idx="92">
                  <c:v>4.4314285714285715</c:v>
                </c:pt>
                <c:pt idx="93">
                  <c:v>6.938571428571429</c:v>
                </c:pt>
                <c:pt idx="94">
                  <c:v>3.1</c:v>
                </c:pt>
                <c:pt idx="95">
                  <c:v>2.5146428571428574</c:v>
                </c:pt>
                <c:pt idx="96">
                  <c:v>5.618571428571428</c:v>
                </c:pt>
                <c:pt idx="97">
                  <c:v>4.457142857142857</c:v>
                </c:pt>
              </c:numCache>
            </c:numRef>
          </c:val>
          <c:smooth val="0"/>
        </c:ser>
        <c:marker val="1"/>
        <c:axId val="62021917"/>
        <c:axId val="21326342"/>
      </c:lineChart>
      <c:dateAx>
        <c:axId val="62021917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2634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132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1917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H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125"/>
          <c:w val="0.08975"/>
          <c:h val="0.82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719351"/>
        <c:axId val="49712112"/>
      </c:lineChart>
      <c:catAx>
        <c:axId val="5771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2112"/>
        <c:crosses val="autoZero"/>
        <c:auto val="1"/>
        <c:lblOffset val="100"/>
        <c:tickLblSkip val="1"/>
        <c:noMultiLvlLbl val="0"/>
      </c:catAx>
      <c:valAx>
        <c:axId val="49712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9351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H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data'!$AR$8:$AR$105</c:f>
              <c:numCache>
                <c:ptCount val="98"/>
                <c:pt idx="0">
                  <c:v>1.4125375446227555</c:v>
                </c:pt>
                <c:pt idx="1">
                  <c:v>0.22387211385683375</c:v>
                </c:pt>
                <c:pt idx="2">
                  <c:v>0.5623413251903491</c:v>
                </c:pt>
                <c:pt idx="3">
                  <c:v>0.48977881936844664</c:v>
                </c:pt>
                <c:pt idx="4">
                  <c:v>0.25703957827688645</c:v>
                </c:pt>
                <c:pt idx="5">
                  <c:v>1.122018454301963</c:v>
                </c:pt>
                <c:pt idx="6">
                  <c:v>1.9498445997580456</c:v>
                </c:pt>
                <c:pt idx="7">
                  <c:v>0.34673685045253166</c:v>
                </c:pt>
                <c:pt idx="8">
                  <c:v>0.9549925860214369</c:v>
                </c:pt>
                <c:pt idx="9">
                  <c:v>0.30199517204020193</c:v>
                </c:pt>
                <c:pt idx="10">
                  <c:v>0.34673685045253166</c:v>
                </c:pt>
                <c:pt idx="11">
                  <c:v>0.5495408738576248</c:v>
                </c:pt>
                <c:pt idx="12">
                  <c:v>0.39810717055349687</c:v>
                </c:pt>
                <c:pt idx="13">
                  <c:v>0.363078054770101</c:v>
                </c:pt>
                <c:pt idx="14">
                  <c:v>0.22908676527677743</c:v>
                </c:pt>
                <c:pt idx="15">
                  <c:v>0.18197008586099822</c:v>
                </c:pt>
                <c:pt idx="16">
                  <c:v>1.122018454301963</c:v>
                </c:pt>
                <c:pt idx="17">
                  <c:v>0.6760829753919818</c:v>
                </c:pt>
                <c:pt idx="18">
                  <c:v>0.24547089156850282</c:v>
                </c:pt>
                <c:pt idx="19">
                  <c:v>0.20417379446695272</c:v>
                </c:pt>
                <c:pt idx="20">
                  <c:v>0.1995262314968878</c:v>
                </c:pt>
                <c:pt idx="21">
                  <c:v>0.16982436524617459</c:v>
                </c:pt>
                <c:pt idx="22">
                  <c:v>0.24547089156850282</c:v>
                </c:pt>
                <c:pt idx="23">
                  <c:v>0.24547089156850282</c:v>
                </c:pt>
                <c:pt idx="24">
                  <c:v>0.21379620895022322</c:v>
                </c:pt>
                <c:pt idx="25">
                  <c:v>0.3090295432513592</c:v>
                </c:pt>
                <c:pt idx="26">
                  <c:v>0.5011872336272725</c:v>
                </c:pt>
                <c:pt idx="27">
                  <c:v>0.478630092322638</c:v>
                </c:pt>
                <c:pt idx="28">
                  <c:v>0.35481338923357525</c:v>
                </c:pt>
                <c:pt idx="29">
                  <c:v>0.13489628825916528</c:v>
                </c:pt>
                <c:pt idx="30">
                  <c:v>0.1584893192461114</c:v>
                </c:pt>
                <c:pt idx="31">
                  <c:v>0.4265795188015925</c:v>
                </c:pt>
                <c:pt idx="32">
                  <c:v>0.21877616239495515</c:v>
                </c:pt>
                <c:pt idx="33">
                  <c:v>0.20892961308540403</c:v>
                </c:pt>
                <c:pt idx="34">
                  <c:v>0.1479108388168207</c:v>
                </c:pt>
                <c:pt idx="35">
                  <c:v>0.2691534803926914</c:v>
                </c:pt>
                <c:pt idx="36">
                  <c:v>0.12302687708123806</c:v>
                </c:pt>
                <c:pt idx="37">
                  <c:v>0.4365158322401656</c:v>
                </c:pt>
                <c:pt idx="38">
                  <c:v>0.26302679918953814</c:v>
                </c:pt>
                <c:pt idx="39">
                  <c:v>1.9054607179632483</c:v>
                </c:pt>
                <c:pt idx="40">
                  <c:v>0.21877616239495515</c:v>
                </c:pt>
                <c:pt idx="41">
                  <c:v>0.407380277804113</c:v>
                </c:pt>
                <c:pt idx="42">
                  <c:v>0.3090295432513592</c:v>
                </c:pt>
                <c:pt idx="43">
                  <c:v>0.17378008287493762</c:v>
                </c:pt>
                <c:pt idx="44">
                  <c:v>0.117489755493953</c:v>
                </c:pt>
                <c:pt idx="45">
                  <c:v>0.1995262314968878</c:v>
                </c:pt>
                <c:pt idx="46">
                  <c:v>0.16982436524617459</c:v>
                </c:pt>
                <c:pt idx="47">
                  <c:v>0.25703957827688645</c:v>
                </c:pt>
                <c:pt idx="48">
                  <c:v>0.15488166189124825</c:v>
                </c:pt>
                <c:pt idx="49">
                  <c:v>0.13803842646028835</c:v>
                </c:pt>
                <c:pt idx="50">
                  <c:v>0.18620871366628652</c:v>
                </c:pt>
                <c:pt idx="51">
                  <c:v>0.46773514128719806</c:v>
                </c:pt>
                <c:pt idx="52">
                  <c:v>0.2511886431509582</c:v>
                </c:pt>
                <c:pt idx="53">
                  <c:v>0.39810717055349687</c:v>
                </c:pt>
                <c:pt idx="54">
                  <c:v>0.5128613839913648</c:v>
                </c:pt>
                <c:pt idx="55">
                  <c:v>0.16982436524617459</c:v>
                </c:pt>
                <c:pt idx="56">
                  <c:v>0.4265795188015925</c:v>
                </c:pt>
                <c:pt idx="57">
                  <c:v>0.25703957827688645</c:v>
                </c:pt>
                <c:pt idx="58">
                  <c:v>0.117489755493953</c:v>
                </c:pt>
                <c:pt idx="59">
                  <c:v>0.1412537544622755</c:v>
                </c:pt>
                <c:pt idx="60">
                  <c:v>0.18197008586099822</c:v>
                </c:pt>
                <c:pt idx="61">
                  <c:v>0.35481338923357525</c:v>
                </c:pt>
                <c:pt idx="62">
                  <c:v>0.1995262314968878</c:v>
                </c:pt>
                <c:pt idx="63">
                  <c:v>0.30199517204020193</c:v>
                </c:pt>
                <c:pt idx="64">
                  <c:v>1.3427649611378643</c:v>
                </c:pt>
                <c:pt idx="65">
                  <c:v>0.31550046233746243</c:v>
                </c:pt>
                <c:pt idx="66">
                  <c:v>0.2535128630497907</c:v>
                </c:pt>
                <c:pt idx="67">
                  <c:v>0.9660508789898141</c:v>
                </c:pt>
                <c:pt idx="68">
                  <c:v>0.3013006024186121</c:v>
                </c:pt>
                <c:pt idx="69">
                  <c:v>0.15703628043335513</c:v>
                </c:pt>
                <c:pt idx="70">
                  <c:v>0.1224616199265049</c:v>
                </c:pt>
                <c:pt idx="71">
                  <c:v>0.14421153515248678</c:v>
                </c:pt>
                <c:pt idx="72">
                  <c:v>0.12189895989248671</c:v>
                </c:pt>
                <c:pt idx="73">
                  <c:v>0.2338837238659353</c:v>
                </c:pt>
                <c:pt idx="74">
                  <c:v>0.8511380382023759</c:v>
                </c:pt>
                <c:pt idx="75">
                  <c:v>0.14757065332758926</c:v>
                </c:pt>
                <c:pt idx="76">
                  <c:v>0.3311311214825907</c:v>
                </c:pt>
                <c:pt idx="77">
                  <c:v>0.15812480392703823</c:v>
                </c:pt>
                <c:pt idx="78">
                  <c:v>0.2600159563165272</c:v>
                </c:pt>
                <c:pt idx="79">
                  <c:v>0.26853444456585085</c:v>
                </c:pt>
                <c:pt idx="80">
                  <c:v>0.5649369748123022</c:v>
                </c:pt>
                <c:pt idx="81">
                  <c:v>0.5482769649208535</c:v>
                </c:pt>
                <c:pt idx="82">
                  <c:v>0.22542392121524277</c:v>
                </c:pt>
                <c:pt idx="83">
                  <c:v>0.22335722228305327</c:v>
                </c:pt>
                <c:pt idx="84">
                  <c:v>0.13645831365889238</c:v>
                </c:pt>
                <c:pt idx="85">
                  <c:v>0.7413102413009177</c:v>
                </c:pt>
                <c:pt idx="86">
                  <c:v>0.16069412530128785</c:v>
                </c:pt>
                <c:pt idx="87">
                  <c:v>3.026913428101305</c:v>
                </c:pt>
                <c:pt idx="88">
                  <c:v>0.19098532585662367</c:v>
                </c:pt>
                <c:pt idx="89">
                  <c:v>0.25061092530321133</c:v>
                </c:pt>
                <c:pt idx="90">
                  <c:v>0.19815270258050968</c:v>
                </c:pt>
                <c:pt idx="91">
                  <c:v>5.321082592667944</c:v>
                </c:pt>
                <c:pt idx="92">
                  <c:v>0.35809643710263617</c:v>
                </c:pt>
                <c:pt idx="93">
                  <c:v>0.21577444091526643</c:v>
                </c:pt>
                <c:pt idx="94">
                  <c:v>0.4456562483975033</c:v>
                </c:pt>
                <c:pt idx="95">
                  <c:v>2.3659196974857566</c:v>
                </c:pt>
                <c:pt idx="96">
                  <c:v>0.3819442708400464</c:v>
                </c:pt>
                <c:pt idx="97">
                  <c:v>0.5046612975635286</c:v>
                </c:pt>
              </c:numCache>
            </c:numRef>
          </c:val>
          <c:smooth val="0"/>
        </c:ser>
        <c:marker val="1"/>
        <c:axId val="44755825"/>
        <c:axId val="149242"/>
      </c:lineChart>
      <c:dateAx>
        <c:axId val="4475582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24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4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582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K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125"/>
          <c:w val="0.08975"/>
          <c:h val="0.82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43179"/>
        <c:axId val="12088612"/>
      </c:lineChart>
      <c:catAx>
        <c:axId val="1343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88612"/>
        <c:crosses val="autoZero"/>
        <c:auto val="1"/>
        <c:lblOffset val="100"/>
        <c:tickLblSkip val="1"/>
        <c:noMultiLvlLbl val="0"/>
      </c:catAx>
      <c:valAx>
        <c:axId val="1208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3179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K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data'!$AL$8:$AL$105</c:f>
              <c:numCache>
                <c:ptCount val="98"/>
                <c:pt idx="0">
                  <c:v>2.9974358974358974</c:v>
                </c:pt>
                <c:pt idx="1">
                  <c:v>3.6846153846153844</c:v>
                </c:pt>
                <c:pt idx="2">
                  <c:v>3.9897435897435893</c:v>
                </c:pt>
                <c:pt idx="3">
                  <c:v>3.964102564102564</c:v>
                </c:pt>
                <c:pt idx="4">
                  <c:v>4.546153846153847</c:v>
                </c:pt>
                <c:pt idx="5">
                  <c:v>7.56923076923077</c:v>
                </c:pt>
                <c:pt idx="6">
                  <c:v>2.7487179487179487</c:v>
                </c:pt>
                <c:pt idx="7">
                  <c:v>6.2153846153846155</c:v>
                </c:pt>
                <c:pt idx="8">
                  <c:v>7.56923076923077</c:v>
                </c:pt>
                <c:pt idx="9">
                  <c:v>5.897435897435898</c:v>
                </c:pt>
                <c:pt idx="10">
                  <c:v>3.51025641025641</c:v>
                </c:pt>
                <c:pt idx="11">
                  <c:v>3.4</c:v>
                </c:pt>
                <c:pt idx="12">
                  <c:v>2.971794871794872</c:v>
                </c:pt>
                <c:pt idx="13">
                  <c:v>2.5641025641025643</c:v>
                </c:pt>
                <c:pt idx="14">
                  <c:v>2.565897435897436</c:v>
                </c:pt>
                <c:pt idx="15">
                  <c:v>2.5641025641025643</c:v>
                </c:pt>
                <c:pt idx="16">
                  <c:v>2.5641025641025643</c:v>
                </c:pt>
                <c:pt idx="17">
                  <c:v>2.5641025641025643</c:v>
                </c:pt>
                <c:pt idx="18">
                  <c:v>3.4256410256410255</c:v>
                </c:pt>
                <c:pt idx="19">
                  <c:v>3.4307692307692306</c:v>
                </c:pt>
                <c:pt idx="20">
                  <c:v>4.223076923076923</c:v>
                </c:pt>
                <c:pt idx="21">
                  <c:v>4.1179487179487175</c:v>
                </c:pt>
                <c:pt idx="22">
                  <c:v>4.956410256410257</c:v>
                </c:pt>
                <c:pt idx="23">
                  <c:v>2.565897435897436</c:v>
                </c:pt>
                <c:pt idx="24">
                  <c:v>4.912820512820512</c:v>
                </c:pt>
                <c:pt idx="25">
                  <c:v>5.4743589743589745</c:v>
                </c:pt>
                <c:pt idx="26">
                  <c:v>5.853846153846154</c:v>
                </c:pt>
                <c:pt idx="27">
                  <c:v>6.28974358974359</c:v>
                </c:pt>
                <c:pt idx="28">
                  <c:v>6.75128205128205</c:v>
                </c:pt>
                <c:pt idx="29">
                  <c:v>5.7384615384615385</c:v>
                </c:pt>
                <c:pt idx="30">
                  <c:v>5.01025641025641</c:v>
                </c:pt>
                <c:pt idx="31">
                  <c:v>5.930769230769231</c:v>
                </c:pt>
                <c:pt idx="32">
                  <c:v>4.007692307692308</c:v>
                </c:pt>
                <c:pt idx="33">
                  <c:v>5.276923076923078</c:v>
                </c:pt>
                <c:pt idx="34">
                  <c:v>3.182051282051282</c:v>
                </c:pt>
                <c:pt idx="35">
                  <c:v>2.5643589743589743</c:v>
                </c:pt>
                <c:pt idx="36">
                  <c:v>2.5641025641025643</c:v>
                </c:pt>
                <c:pt idx="37">
                  <c:v>2.8205128205128207</c:v>
                </c:pt>
                <c:pt idx="38">
                  <c:v>3.5897435897435903</c:v>
                </c:pt>
                <c:pt idx="39">
                  <c:v>6.984615384615385</c:v>
                </c:pt>
                <c:pt idx="40">
                  <c:v>4.871794871794872</c:v>
                </c:pt>
                <c:pt idx="41">
                  <c:v>4.871794871794872</c:v>
                </c:pt>
                <c:pt idx="42">
                  <c:v>7.282051282051281</c:v>
                </c:pt>
                <c:pt idx="43">
                  <c:v>6.076923076923077</c:v>
                </c:pt>
                <c:pt idx="44">
                  <c:v>10.35897435897436</c:v>
                </c:pt>
                <c:pt idx="45">
                  <c:v>9.784615384615385</c:v>
                </c:pt>
                <c:pt idx="46">
                  <c:v>4.923076923076923</c:v>
                </c:pt>
                <c:pt idx="47">
                  <c:v>6.138461538461539</c:v>
                </c:pt>
                <c:pt idx="48">
                  <c:v>6.8</c:v>
                </c:pt>
                <c:pt idx="49">
                  <c:v>7.458974358974359</c:v>
                </c:pt>
                <c:pt idx="50">
                  <c:v>7.333333333333332</c:v>
                </c:pt>
                <c:pt idx="51">
                  <c:v>7.4743589743589745</c:v>
                </c:pt>
                <c:pt idx="52">
                  <c:v>8.49230769230769</c:v>
                </c:pt>
                <c:pt idx="53">
                  <c:v>7.651282051282052</c:v>
                </c:pt>
                <c:pt idx="54">
                  <c:v>6.851282051282051</c:v>
                </c:pt>
                <c:pt idx="55">
                  <c:v>5.251282051282052</c:v>
                </c:pt>
                <c:pt idx="56">
                  <c:v>6.1230769230769235</c:v>
                </c:pt>
                <c:pt idx="57">
                  <c:v>3.5820512820512818</c:v>
                </c:pt>
                <c:pt idx="58">
                  <c:v>9.048717948717949</c:v>
                </c:pt>
                <c:pt idx="59">
                  <c:v>4.776923076923077</c:v>
                </c:pt>
                <c:pt idx="60">
                  <c:v>6.838461538461538</c:v>
                </c:pt>
                <c:pt idx="61">
                  <c:v>4.841025641025641</c:v>
                </c:pt>
                <c:pt idx="62">
                  <c:v>4.456410256410257</c:v>
                </c:pt>
                <c:pt idx="63">
                  <c:v>2.5641025641025643</c:v>
                </c:pt>
                <c:pt idx="64">
                  <c:v>6.805128205128206</c:v>
                </c:pt>
                <c:pt idx="65">
                  <c:v>6.343589743589744</c:v>
                </c:pt>
                <c:pt idx="66">
                  <c:v>5.874358974358974</c:v>
                </c:pt>
                <c:pt idx="67">
                  <c:v>6.092307692307693</c:v>
                </c:pt>
                <c:pt idx="68">
                  <c:v>7.166666666666668</c:v>
                </c:pt>
                <c:pt idx="69">
                  <c:v>6.476923076923076</c:v>
                </c:pt>
                <c:pt idx="70">
                  <c:v>2.5641025641025643</c:v>
                </c:pt>
                <c:pt idx="71">
                  <c:v>2.5641025641025643</c:v>
                </c:pt>
                <c:pt idx="72">
                  <c:v>6.912820512820513</c:v>
                </c:pt>
                <c:pt idx="73">
                  <c:v>2.5641025641025643</c:v>
                </c:pt>
                <c:pt idx="74">
                  <c:v>5.794871794871796</c:v>
                </c:pt>
                <c:pt idx="75">
                  <c:v>6.9974358974358974</c:v>
                </c:pt>
                <c:pt idx="76">
                  <c:v>6.32051282051282</c:v>
                </c:pt>
                <c:pt idx="77">
                  <c:v>7.0717948717948715</c:v>
                </c:pt>
                <c:pt idx="78">
                  <c:v>2.5641025641025643</c:v>
                </c:pt>
                <c:pt idx="79">
                  <c:v>9.658974358974358</c:v>
                </c:pt>
                <c:pt idx="80">
                  <c:v>7.594871794871795</c:v>
                </c:pt>
                <c:pt idx="81">
                  <c:v>6.848717948717948</c:v>
                </c:pt>
                <c:pt idx="82">
                  <c:v>6.7846153846153845</c:v>
                </c:pt>
                <c:pt idx="83">
                  <c:v>2.5641025641025643</c:v>
                </c:pt>
                <c:pt idx="84">
                  <c:v>5.441025641025641</c:v>
                </c:pt>
                <c:pt idx="85">
                  <c:v>5.325641025641025</c:v>
                </c:pt>
                <c:pt idx="86">
                  <c:v>6.374358974358974</c:v>
                </c:pt>
                <c:pt idx="87">
                  <c:v>2.5641025641025643</c:v>
                </c:pt>
                <c:pt idx="88">
                  <c:v>5.589743589743589</c:v>
                </c:pt>
                <c:pt idx="89">
                  <c:v>5.310256410256411</c:v>
                </c:pt>
                <c:pt idx="90">
                  <c:v>6.18974358974359</c:v>
                </c:pt>
                <c:pt idx="91">
                  <c:v>6.5</c:v>
                </c:pt>
                <c:pt idx="92">
                  <c:v>7.017948717948718</c:v>
                </c:pt>
                <c:pt idx="93">
                  <c:v>9.235897435897437</c:v>
                </c:pt>
                <c:pt idx="94">
                  <c:v>6.961538461538462</c:v>
                </c:pt>
                <c:pt idx="95">
                  <c:v>8.4</c:v>
                </c:pt>
                <c:pt idx="96">
                  <c:v>6.125641025641026</c:v>
                </c:pt>
                <c:pt idx="97">
                  <c:v>6.535897435897436</c:v>
                </c:pt>
              </c:numCache>
            </c:numRef>
          </c:val>
          <c:smooth val="0"/>
        </c:ser>
        <c:marker val="1"/>
        <c:axId val="41688645"/>
        <c:axId val="39653486"/>
      </c:lineChart>
      <c:dateAx>
        <c:axId val="4168864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3486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9653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864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Mist - Rain Gauge 7
Mg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875"/>
          <c:w val="0.08975"/>
          <c:h val="0.789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337055"/>
        <c:axId val="57815768"/>
      </c:lineChart>
      <c:catAx>
        <c:axId val="21337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5768"/>
        <c:crosses val="autoZero"/>
        <c:auto val="1"/>
        <c:lblOffset val="100"/>
        <c:tickLblSkip val="1"/>
        <c:noMultiLvlLbl val="0"/>
      </c:catAx>
      <c:valAx>
        <c:axId val="57815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705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Mg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data'!$AN$8:$AN$105</c:f>
              <c:numCache>
                <c:ptCount val="98"/>
                <c:pt idx="0">
                  <c:v>19.525000000000002</c:v>
                </c:pt>
                <c:pt idx="1">
                  <c:v>27.825</c:v>
                </c:pt>
                <c:pt idx="2">
                  <c:v>31.858333333333327</c:v>
                </c:pt>
                <c:pt idx="3">
                  <c:v>30.450000000000003</c:v>
                </c:pt>
                <c:pt idx="4">
                  <c:v>32.45833333333333</c:v>
                </c:pt>
                <c:pt idx="5">
                  <c:v>23.575</c:v>
                </c:pt>
                <c:pt idx="6">
                  <c:v>23.791666666666664</c:v>
                </c:pt>
                <c:pt idx="7">
                  <c:v>33.325</c:v>
                </c:pt>
                <c:pt idx="8">
                  <c:v>38.91666666666667</c:v>
                </c:pt>
                <c:pt idx="9">
                  <c:v>31.666666666666668</c:v>
                </c:pt>
                <c:pt idx="10">
                  <c:v>36.50833333333333</c:v>
                </c:pt>
                <c:pt idx="11">
                  <c:v>28.15833333333333</c:v>
                </c:pt>
                <c:pt idx="12">
                  <c:v>30.416666666666664</c:v>
                </c:pt>
                <c:pt idx="13">
                  <c:v>32.65833333333334</c:v>
                </c:pt>
                <c:pt idx="14">
                  <c:v>34.06666666666667</c:v>
                </c:pt>
                <c:pt idx="15">
                  <c:v>33.141666666666666</c:v>
                </c:pt>
                <c:pt idx="16">
                  <c:v>29.28333333333333</c:v>
                </c:pt>
                <c:pt idx="17">
                  <c:v>31.200000000000003</c:v>
                </c:pt>
                <c:pt idx="18">
                  <c:v>30.016666666666666</c:v>
                </c:pt>
                <c:pt idx="19">
                  <c:v>31.53333333333334</c:v>
                </c:pt>
                <c:pt idx="20">
                  <c:v>30.466666666666665</c:v>
                </c:pt>
                <c:pt idx="21">
                  <c:v>31.983333333333327</c:v>
                </c:pt>
                <c:pt idx="22">
                  <c:v>31.525000000000006</c:v>
                </c:pt>
                <c:pt idx="23">
                  <c:v>25.5</c:v>
                </c:pt>
                <c:pt idx="24">
                  <c:v>30.991666666666667</c:v>
                </c:pt>
                <c:pt idx="25">
                  <c:v>24.583333333333332</c:v>
                </c:pt>
                <c:pt idx="26">
                  <c:v>23.650000000000002</c:v>
                </c:pt>
                <c:pt idx="27">
                  <c:v>29.333333333333332</c:v>
                </c:pt>
                <c:pt idx="28">
                  <c:v>29.375</c:v>
                </c:pt>
                <c:pt idx="29">
                  <c:v>34.31666666666667</c:v>
                </c:pt>
                <c:pt idx="30">
                  <c:v>36.275</c:v>
                </c:pt>
                <c:pt idx="31">
                  <c:v>27</c:v>
                </c:pt>
                <c:pt idx="32">
                  <c:v>29.81666666666667</c:v>
                </c:pt>
                <c:pt idx="33">
                  <c:v>30.775</c:v>
                </c:pt>
                <c:pt idx="34">
                  <c:v>34.24999999999999</c:v>
                </c:pt>
                <c:pt idx="35">
                  <c:v>35.49166666666667</c:v>
                </c:pt>
                <c:pt idx="36">
                  <c:v>29.166666666666664</c:v>
                </c:pt>
                <c:pt idx="37">
                  <c:v>27.5</c:v>
                </c:pt>
                <c:pt idx="38">
                  <c:v>25.833333333333332</c:v>
                </c:pt>
                <c:pt idx="39">
                  <c:v>28.95</c:v>
                </c:pt>
                <c:pt idx="40">
                  <c:v>33.333333333333336</c:v>
                </c:pt>
                <c:pt idx="41">
                  <c:v>30.833333333333336</c:v>
                </c:pt>
                <c:pt idx="42">
                  <c:v>35.6</c:v>
                </c:pt>
                <c:pt idx="43">
                  <c:v>29.65833333333333</c:v>
                </c:pt>
                <c:pt idx="44">
                  <c:v>28.558333333333334</c:v>
                </c:pt>
                <c:pt idx="45">
                  <c:v>33.65</c:v>
                </c:pt>
                <c:pt idx="46">
                  <c:v>29.81666666666667</c:v>
                </c:pt>
                <c:pt idx="47">
                  <c:v>32.958333333333336</c:v>
                </c:pt>
                <c:pt idx="48">
                  <c:v>31.008333333333333</c:v>
                </c:pt>
                <c:pt idx="49">
                  <c:v>33.15833333333333</c:v>
                </c:pt>
                <c:pt idx="50">
                  <c:v>44.48333333333334</c:v>
                </c:pt>
                <c:pt idx="51">
                  <c:v>31.474999999999994</c:v>
                </c:pt>
                <c:pt idx="52">
                  <c:v>26.125</c:v>
                </c:pt>
                <c:pt idx="53">
                  <c:v>26.341666666666665</c:v>
                </c:pt>
                <c:pt idx="54">
                  <c:v>24.1</c:v>
                </c:pt>
                <c:pt idx="55">
                  <c:v>26.649999999999995</c:v>
                </c:pt>
                <c:pt idx="56">
                  <c:v>29.475</c:v>
                </c:pt>
                <c:pt idx="57">
                  <c:v>22.208333333333332</c:v>
                </c:pt>
                <c:pt idx="58">
                  <c:v>35.766666666666666</c:v>
                </c:pt>
                <c:pt idx="59">
                  <c:v>34.725</c:v>
                </c:pt>
                <c:pt idx="60">
                  <c:v>37.74166666666667</c:v>
                </c:pt>
                <c:pt idx="61">
                  <c:v>35.61666666666667</c:v>
                </c:pt>
                <c:pt idx="62">
                  <c:v>34.325</c:v>
                </c:pt>
                <c:pt idx="63">
                  <c:v>28.65</c:v>
                </c:pt>
                <c:pt idx="64">
                  <c:v>29.050000000000004</c:v>
                </c:pt>
                <c:pt idx="65">
                  <c:v>34.925</c:v>
                </c:pt>
                <c:pt idx="66">
                  <c:v>30.28333333333333</c:v>
                </c:pt>
                <c:pt idx="67">
                  <c:v>33.28333333333333</c:v>
                </c:pt>
                <c:pt idx="68">
                  <c:v>33.99999999999999</c:v>
                </c:pt>
                <c:pt idx="69">
                  <c:v>35.475</c:v>
                </c:pt>
                <c:pt idx="70">
                  <c:v>35.525</c:v>
                </c:pt>
                <c:pt idx="71">
                  <c:v>35.1</c:v>
                </c:pt>
                <c:pt idx="72">
                  <c:v>30.258333333333333</c:v>
                </c:pt>
                <c:pt idx="73">
                  <c:v>30.375</c:v>
                </c:pt>
                <c:pt idx="74">
                  <c:v>25.400000000000002</c:v>
                </c:pt>
                <c:pt idx="75">
                  <c:v>31.366666666666667</c:v>
                </c:pt>
                <c:pt idx="76">
                  <c:v>27.291666666666668</c:v>
                </c:pt>
                <c:pt idx="77">
                  <c:v>35.61666666666667</c:v>
                </c:pt>
                <c:pt idx="78">
                  <c:v>31.18333333333333</c:v>
                </c:pt>
                <c:pt idx="79">
                  <c:v>28.866666666666667</c:v>
                </c:pt>
                <c:pt idx="80">
                  <c:v>24.191666666666666</c:v>
                </c:pt>
                <c:pt idx="81">
                  <c:v>20.291666666666668</c:v>
                </c:pt>
                <c:pt idx="82">
                  <c:v>25.733333333333334</c:v>
                </c:pt>
                <c:pt idx="83">
                  <c:v>31.025000000000002</c:v>
                </c:pt>
                <c:pt idx="84">
                  <c:v>31.775</c:v>
                </c:pt>
                <c:pt idx="85">
                  <c:v>32.00833333333333</c:v>
                </c:pt>
                <c:pt idx="86">
                  <c:v>37.45</c:v>
                </c:pt>
                <c:pt idx="87">
                  <c:v>32.516666666666666</c:v>
                </c:pt>
                <c:pt idx="88">
                  <c:v>36.7</c:v>
                </c:pt>
                <c:pt idx="89">
                  <c:v>51.96666666666667</c:v>
                </c:pt>
                <c:pt idx="90">
                  <c:v>28.183333333333334</c:v>
                </c:pt>
                <c:pt idx="91">
                  <c:v>24.441666666666666</c:v>
                </c:pt>
                <c:pt idx="92">
                  <c:v>23.71666666666667</c:v>
                </c:pt>
                <c:pt idx="93">
                  <c:v>36.825</c:v>
                </c:pt>
                <c:pt idx="94">
                  <c:v>23.474999999999998</c:v>
                </c:pt>
                <c:pt idx="95">
                  <c:v>24.933333333333334</c:v>
                </c:pt>
                <c:pt idx="96">
                  <c:v>26.908333333333335</c:v>
                </c:pt>
                <c:pt idx="97">
                  <c:v>26.708333333333336</c:v>
                </c:pt>
              </c:numCache>
            </c:numRef>
          </c:val>
          <c:smooth val="0"/>
        </c:ser>
        <c:marker val="1"/>
        <c:axId val="50579865"/>
        <c:axId val="52565602"/>
      </c:lineChart>
      <c:dateAx>
        <c:axId val="5057986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560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256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7986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Mn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9"/>
          <c:y val="0.1595"/>
          <c:w val="0.08975"/>
          <c:h val="0.81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28371"/>
        <c:axId val="29955340"/>
      </c:lineChart>
      <c:catAx>
        <c:axId val="3328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5340"/>
        <c:crosses val="autoZero"/>
        <c:auto val="1"/>
        <c:lblOffset val="100"/>
        <c:tickLblSkip val="1"/>
        <c:noMultiLvlLbl val="0"/>
      </c:catAx>
      <c:valAx>
        <c:axId val="2995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8371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Mn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07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data'!$AF$8:$AF$105</c:f>
              <c:numCache>
                <c:ptCount val="98"/>
                <c:pt idx="0">
                  <c:v>0.07272727272727272</c:v>
                </c:pt>
                <c:pt idx="1">
                  <c:v>0.07272727272727272</c:v>
                </c:pt>
                <c:pt idx="2">
                  <c:v>0.16363636363636364</c:v>
                </c:pt>
                <c:pt idx="3">
                  <c:v>0.07636363636363636</c:v>
                </c:pt>
                <c:pt idx="4">
                  <c:v>0.07272727272727272</c:v>
                </c:pt>
                <c:pt idx="5">
                  <c:v>0.07272727272727272</c:v>
                </c:pt>
                <c:pt idx="6">
                  <c:v>0.18909090909090906</c:v>
                </c:pt>
                <c:pt idx="7">
                  <c:v>0.07272727272727272</c:v>
                </c:pt>
                <c:pt idx="8">
                  <c:v>0.09454545454545453</c:v>
                </c:pt>
                <c:pt idx="9">
                  <c:v>0.07272727272727272</c:v>
                </c:pt>
                <c:pt idx="10">
                  <c:v>0.09454545454545453</c:v>
                </c:pt>
                <c:pt idx="11">
                  <c:v>0.07272727272727272</c:v>
                </c:pt>
                <c:pt idx="12">
                  <c:v>0.07272727272727272</c:v>
                </c:pt>
                <c:pt idx="13">
                  <c:v>0.07272727272727272</c:v>
                </c:pt>
                <c:pt idx="14">
                  <c:v>0.07272727272727272</c:v>
                </c:pt>
                <c:pt idx="15">
                  <c:v>0.07272727272727272</c:v>
                </c:pt>
                <c:pt idx="16">
                  <c:v>0.07636363636363636</c:v>
                </c:pt>
                <c:pt idx="17">
                  <c:v>0.07272727272727272</c:v>
                </c:pt>
                <c:pt idx="18">
                  <c:v>0.07272727272727272</c:v>
                </c:pt>
                <c:pt idx="19">
                  <c:v>0.07272727272727272</c:v>
                </c:pt>
                <c:pt idx="20">
                  <c:v>0.07272727272727272</c:v>
                </c:pt>
                <c:pt idx="21">
                  <c:v>0.07272727272727272</c:v>
                </c:pt>
                <c:pt idx="22">
                  <c:v>0.07272727272727272</c:v>
                </c:pt>
                <c:pt idx="23">
                  <c:v>0.07272727272727272</c:v>
                </c:pt>
                <c:pt idx="24">
                  <c:v>0.07272727272727272</c:v>
                </c:pt>
                <c:pt idx="25">
                  <c:v>0.07272727272727272</c:v>
                </c:pt>
                <c:pt idx="26">
                  <c:v>0.07272727272727272</c:v>
                </c:pt>
                <c:pt idx="27">
                  <c:v>0.07272727272727272</c:v>
                </c:pt>
                <c:pt idx="28">
                  <c:v>0.07272727272727272</c:v>
                </c:pt>
                <c:pt idx="29">
                  <c:v>0.07272727272727272</c:v>
                </c:pt>
                <c:pt idx="30">
                  <c:v>0.07272727272727272</c:v>
                </c:pt>
                <c:pt idx="31">
                  <c:v>0.07272727272727272</c:v>
                </c:pt>
                <c:pt idx="32">
                  <c:v>0.07272727272727272</c:v>
                </c:pt>
                <c:pt idx="33">
                  <c:v>0.07272727272727272</c:v>
                </c:pt>
                <c:pt idx="34">
                  <c:v>0.07272727272727272</c:v>
                </c:pt>
                <c:pt idx="35">
                  <c:v>0.07272727272727272</c:v>
                </c:pt>
                <c:pt idx="36">
                  <c:v>0.07272727272727272</c:v>
                </c:pt>
                <c:pt idx="37">
                  <c:v>0.07272727272727272</c:v>
                </c:pt>
                <c:pt idx="38">
                  <c:v>0.07272727272727272</c:v>
                </c:pt>
                <c:pt idx="39">
                  <c:v>0.09938181818181818</c:v>
                </c:pt>
                <c:pt idx="40">
                  <c:v>0.07272727272727272</c:v>
                </c:pt>
                <c:pt idx="41">
                  <c:v>0.07272727272727272</c:v>
                </c:pt>
                <c:pt idx="42">
                  <c:v>0.08363636363636363</c:v>
                </c:pt>
                <c:pt idx="43">
                  <c:v>0.07272727272727272</c:v>
                </c:pt>
                <c:pt idx="44">
                  <c:v>0.07272727272727272</c:v>
                </c:pt>
                <c:pt idx="45">
                  <c:v>0.07272727272727272</c:v>
                </c:pt>
                <c:pt idx="46">
                  <c:v>0.07272727272727272</c:v>
                </c:pt>
                <c:pt idx="47">
                  <c:v>0.07272727272727272</c:v>
                </c:pt>
                <c:pt idx="48">
                  <c:v>0.07272727272727272</c:v>
                </c:pt>
                <c:pt idx="49">
                  <c:v>0.07272727272727272</c:v>
                </c:pt>
                <c:pt idx="50">
                  <c:v>0.07272727272727272</c:v>
                </c:pt>
                <c:pt idx="51">
                  <c:v>0.07272727272727272</c:v>
                </c:pt>
                <c:pt idx="52">
                  <c:v>0.07272727272727272</c:v>
                </c:pt>
                <c:pt idx="53">
                  <c:v>0.07272727272727272</c:v>
                </c:pt>
                <c:pt idx="54">
                  <c:v>0.07272727272727272</c:v>
                </c:pt>
                <c:pt idx="55">
                  <c:v>0.07272727272727272</c:v>
                </c:pt>
                <c:pt idx="56">
                  <c:v>0.07272727272727272</c:v>
                </c:pt>
                <c:pt idx="57">
                  <c:v>0.07272727272727272</c:v>
                </c:pt>
                <c:pt idx="58">
                  <c:v>0.07272727272727272</c:v>
                </c:pt>
                <c:pt idx="59">
                  <c:v>0.07272727272727272</c:v>
                </c:pt>
                <c:pt idx="60">
                  <c:v>0.08923636363636364</c:v>
                </c:pt>
                <c:pt idx="61">
                  <c:v>0.08523636363636364</c:v>
                </c:pt>
                <c:pt idx="62">
                  <c:v>0.09850909090909091</c:v>
                </c:pt>
                <c:pt idx="63">
                  <c:v>0.10858181818181818</c:v>
                </c:pt>
                <c:pt idx="64">
                  <c:v>0.09116363636363636</c:v>
                </c:pt>
                <c:pt idx="65">
                  <c:v>0.08243636363636364</c:v>
                </c:pt>
                <c:pt idx="66">
                  <c:v>0.07505454545454546</c:v>
                </c:pt>
                <c:pt idx="67">
                  <c:v>0.10741818181818182</c:v>
                </c:pt>
                <c:pt idx="68">
                  <c:v>0.08901818181818182</c:v>
                </c:pt>
                <c:pt idx="69">
                  <c:v>0.09523636363636362</c:v>
                </c:pt>
                <c:pt idx="70">
                  <c:v>0.10472727272727274</c:v>
                </c:pt>
                <c:pt idx="71">
                  <c:v>0.10316363636363636</c:v>
                </c:pt>
                <c:pt idx="72">
                  <c:v>0.09236363636363637</c:v>
                </c:pt>
                <c:pt idx="73">
                  <c:v>0.07494545454545455</c:v>
                </c:pt>
                <c:pt idx="74">
                  <c:v>0.09272727272727274</c:v>
                </c:pt>
                <c:pt idx="75">
                  <c:v>0.07643636363636364</c:v>
                </c:pt>
                <c:pt idx="76">
                  <c:v>0.10592727272727272</c:v>
                </c:pt>
                <c:pt idx="77">
                  <c:v>0.09116363636363636</c:v>
                </c:pt>
                <c:pt idx="78">
                  <c:v>0.10767272727272728</c:v>
                </c:pt>
                <c:pt idx="79">
                  <c:v>0.09109090909090908</c:v>
                </c:pt>
                <c:pt idx="80">
                  <c:v>0.07272727272727272</c:v>
                </c:pt>
                <c:pt idx="81">
                  <c:v>0.09178181818181819</c:v>
                </c:pt>
                <c:pt idx="82">
                  <c:v>0.09185454545454545</c:v>
                </c:pt>
                <c:pt idx="83">
                  <c:v>0.10465454545454546</c:v>
                </c:pt>
                <c:pt idx="84">
                  <c:v>0.08374545454545454</c:v>
                </c:pt>
                <c:pt idx="85">
                  <c:v>0.09643636363636363</c:v>
                </c:pt>
                <c:pt idx="86">
                  <c:v>0.10050909090909091</c:v>
                </c:pt>
                <c:pt idx="87">
                  <c:v>0.19967272727272728</c:v>
                </c:pt>
                <c:pt idx="88">
                  <c:v>0.10858181818181818</c:v>
                </c:pt>
                <c:pt idx="89">
                  <c:v>0.07298181818181818</c:v>
                </c:pt>
                <c:pt idx="90">
                  <c:v>0.08116363636363637</c:v>
                </c:pt>
                <c:pt idx="91">
                  <c:v>0.12694545454545456</c:v>
                </c:pt>
                <c:pt idx="92">
                  <c:v>0.07330909090909091</c:v>
                </c:pt>
                <c:pt idx="93">
                  <c:v>0.10669090909090909</c:v>
                </c:pt>
                <c:pt idx="94">
                  <c:v>0.10174545454545454</c:v>
                </c:pt>
                <c:pt idx="95">
                  <c:v>0.09741818181818182</c:v>
                </c:pt>
                <c:pt idx="96">
                  <c:v>0.10745454545454546</c:v>
                </c:pt>
                <c:pt idx="97">
                  <c:v>0.07272727272727272</c:v>
                </c:pt>
              </c:numCache>
            </c:numRef>
          </c:val>
          <c:smooth val="0"/>
        </c:ser>
        <c:marker val="1"/>
        <c:axId val="1162605"/>
        <c:axId val="10463446"/>
      </c:lineChart>
      <c:dateAx>
        <c:axId val="116260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3446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046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60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Alkalinity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data'!$BR$8:$BR$105</c:f>
              <c:numCache>
                <c:ptCount val="98"/>
                <c:pt idx="0">
                  <c:v>31.91886167383342</c:v>
                </c:pt>
                <c:pt idx="1">
                  <c:v>61.106098303870056</c:v>
                </c:pt>
                <c:pt idx="2">
                  <c:v>81.27406294792164</c:v>
                </c:pt>
                <c:pt idx="3">
                  <c:v>69.40417243987892</c:v>
                </c:pt>
                <c:pt idx="4">
                  <c:v>71.47720457079151</c:v>
                </c:pt>
                <c:pt idx="5">
                  <c:v>4.1793705207835785</c:v>
                </c:pt>
                <c:pt idx="6">
                  <c:v>28.857814739608216</c:v>
                </c:pt>
                <c:pt idx="7">
                  <c:v>47.74349796942187</c:v>
                </c:pt>
                <c:pt idx="8">
                  <c:v>36.72364588310242</c:v>
                </c:pt>
                <c:pt idx="9">
                  <c:v>50.35362119764295</c:v>
                </c:pt>
                <c:pt idx="10">
                  <c:v>51.23198260073258</c:v>
                </c:pt>
                <c:pt idx="11">
                  <c:v>32.14168395445131</c:v>
                </c:pt>
                <c:pt idx="12">
                  <c:v>58.90228514094605</c:v>
                </c:pt>
                <c:pt idx="13">
                  <c:v>47.93780080426822</c:v>
                </c:pt>
                <c:pt idx="14">
                  <c:v>66.4156839783405</c:v>
                </c:pt>
                <c:pt idx="15">
                  <c:v>73.81687171524129</c:v>
                </c:pt>
                <c:pt idx="16">
                  <c:v>48.25058589743588</c:v>
                </c:pt>
                <c:pt idx="17">
                  <c:v>68.9213385889473</c:v>
                </c:pt>
                <c:pt idx="18">
                  <c:v>62.36358098423318</c:v>
                </c:pt>
                <c:pt idx="19">
                  <c:v>80.26328268832623</c:v>
                </c:pt>
                <c:pt idx="20">
                  <c:v>75.94547650899824</c:v>
                </c:pt>
                <c:pt idx="21">
                  <c:v>86.19492956681</c:v>
                </c:pt>
                <c:pt idx="22">
                  <c:v>64.34209690237299</c:v>
                </c:pt>
                <c:pt idx="23">
                  <c:v>59.69484153527634</c:v>
                </c:pt>
                <c:pt idx="24">
                  <c:v>66.39827599936294</c:v>
                </c:pt>
                <c:pt idx="25">
                  <c:v>43.493142618251284</c:v>
                </c:pt>
                <c:pt idx="26">
                  <c:v>46.10119863831821</c:v>
                </c:pt>
                <c:pt idx="27">
                  <c:v>10.051399904443343</c:v>
                </c:pt>
                <c:pt idx="28">
                  <c:v>38.268362796623705</c:v>
                </c:pt>
                <c:pt idx="29">
                  <c:v>69.95984093804748</c:v>
                </c:pt>
                <c:pt idx="30">
                  <c:v>82.86169274566018</c:v>
                </c:pt>
                <c:pt idx="31">
                  <c:v>42.838160535117055</c:v>
                </c:pt>
                <c:pt idx="32">
                  <c:v>56.39299872591178</c:v>
                </c:pt>
                <c:pt idx="33">
                  <c:v>73.07992618251316</c:v>
                </c:pt>
                <c:pt idx="34">
                  <c:v>70.49314351807612</c:v>
                </c:pt>
                <c:pt idx="35">
                  <c:v>54.53787579630517</c:v>
                </c:pt>
                <c:pt idx="36">
                  <c:v>69.58258600095556</c:v>
                </c:pt>
                <c:pt idx="37">
                  <c:v>67.51725195094761</c:v>
                </c:pt>
                <c:pt idx="38">
                  <c:v>58.08782847587193</c:v>
                </c:pt>
                <c:pt idx="39">
                  <c:v>89.43958432871477</c:v>
                </c:pt>
                <c:pt idx="40">
                  <c:v>59.55474000637042</c:v>
                </c:pt>
                <c:pt idx="41">
                  <c:v>64.95769031692947</c:v>
                </c:pt>
                <c:pt idx="42">
                  <c:v>93.11338668577798</c:v>
                </c:pt>
                <c:pt idx="43">
                  <c:v>77.64426262143652</c:v>
                </c:pt>
                <c:pt idx="44">
                  <c:v>186.51606545628286</c:v>
                </c:pt>
                <c:pt idx="45">
                  <c:v>119.81617594362154</c:v>
                </c:pt>
                <c:pt idx="46">
                  <c:v>85.5618942108616</c:v>
                </c:pt>
                <c:pt idx="47">
                  <c:v>102.09279642458992</c:v>
                </c:pt>
                <c:pt idx="48">
                  <c:v>107.41935817805387</c:v>
                </c:pt>
                <c:pt idx="49">
                  <c:v>98.73520676063069</c:v>
                </c:pt>
                <c:pt idx="50">
                  <c:v>132.32647412008282</c:v>
                </c:pt>
                <c:pt idx="51">
                  <c:v>78.56729375696764</c:v>
                </c:pt>
                <c:pt idx="52">
                  <c:v>50.83973005255612</c:v>
                </c:pt>
                <c:pt idx="53">
                  <c:v>25.97943163720342</c:v>
                </c:pt>
                <c:pt idx="54">
                  <c:v>44.19492335562987</c:v>
                </c:pt>
                <c:pt idx="55">
                  <c:v>63.730979256251004</c:v>
                </c:pt>
                <c:pt idx="56">
                  <c:v>-1.9990504061156287</c:v>
                </c:pt>
                <c:pt idx="57">
                  <c:v>38.73225573339704</c:v>
                </c:pt>
                <c:pt idx="58">
                  <c:v>75.51290014333495</c:v>
                </c:pt>
                <c:pt idx="59">
                  <c:v>94.58208612040136</c:v>
                </c:pt>
                <c:pt idx="60">
                  <c:v>148.88366857779906</c:v>
                </c:pt>
                <c:pt idx="61">
                  <c:v>147.7833134257047</c:v>
                </c:pt>
                <c:pt idx="62">
                  <c:v>120.07738851727981</c:v>
                </c:pt>
                <c:pt idx="63">
                  <c:v>45.324608775282655</c:v>
                </c:pt>
                <c:pt idx="64">
                  <c:v>48.059701186494664</c:v>
                </c:pt>
                <c:pt idx="65">
                  <c:v>69.79775123427297</c:v>
                </c:pt>
                <c:pt idx="66">
                  <c:v>77.71411311514575</c:v>
                </c:pt>
                <c:pt idx="67">
                  <c:v>74.71830406911926</c:v>
                </c:pt>
                <c:pt idx="68">
                  <c:v>109.04522101449274</c:v>
                </c:pt>
                <c:pt idx="69">
                  <c:v>118.36389667940753</c:v>
                </c:pt>
                <c:pt idx="70">
                  <c:v>118.51326405478576</c:v>
                </c:pt>
                <c:pt idx="71">
                  <c:v>127.92443486223925</c:v>
                </c:pt>
                <c:pt idx="72">
                  <c:v>97.59673614429053</c:v>
                </c:pt>
                <c:pt idx="73">
                  <c:v>76.705925545469</c:v>
                </c:pt>
                <c:pt idx="74">
                  <c:v>71.52505813027551</c:v>
                </c:pt>
                <c:pt idx="75">
                  <c:v>91.58622834050007</c:v>
                </c:pt>
                <c:pt idx="76">
                  <c:v>67.33256147475714</c:v>
                </c:pt>
                <c:pt idx="77">
                  <c:v>116.04048017200193</c:v>
                </c:pt>
                <c:pt idx="78">
                  <c:v>88.80496695333647</c:v>
                </c:pt>
                <c:pt idx="79">
                  <c:v>87.51258201942983</c:v>
                </c:pt>
                <c:pt idx="80">
                  <c:v>63.50076206402292</c:v>
                </c:pt>
                <c:pt idx="81">
                  <c:v>69.2204777830865</c:v>
                </c:pt>
                <c:pt idx="82">
                  <c:v>74.78731983596117</c:v>
                </c:pt>
                <c:pt idx="83">
                  <c:v>90.5670140547858</c:v>
                </c:pt>
                <c:pt idx="84">
                  <c:v>93.72805980251636</c:v>
                </c:pt>
                <c:pt idx="85">
                  <c:v>106.00563584965761</c:v>
                </c:pt>
                <c:pt idx="86">
                  <c:v>144.04516642777511</c:v>
                </c:pt>
                <c:pt idx="87">
                  <c:v>126.3448919015767</c:v>
                </c:pt>
                <c:pt idx="88">
                  <c:v>159.0689439003026</c:v>
                </c:pt>
                <c:pt idx="89">
                  <c:v>151.5843376731964</c:v>
                </c:pt>
                <c:pt idx="90">
                  <c:v>73.54514214046824</c:v>
                </c:pt>
                <c:pt idx="91">
                  <c:v>35.26020548654243</c:v>
                </c:pt>
                <c:pt idx="92">
                  <c:v>63.83801600573341</c:v>
                </c:pt>
                <c:pt idx="93">
                  <c:v>138.21871575887883</c:v>
                </c:pt>
                <c:pt idx="94">
                  <c:v>64.20906175346391</c:v>
                </c:pt>
                <c:pt idx="95">
                  <c:v>34.147440476190496</c:v>
                </c:pt>
                <c:pt idx="96">
                  <c:v>55.25520883102408</c:v>
                </c:pt>
                <c:pt idx="97">
                  <c:v>65.10274008600098</c:v>
                </c:pt>
              </c:numCache>
            </c:numRef>
          </c:val>
          <c:smooth val="0"/>
        </c:ser>
        <c:marker val="1"/>
        <c:axId val="59452115"/>
        <c:axId val="65306988"/>
      </c:lineChart>
      <c:dateAx>
        <c:axId val="5945211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0698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530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211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Na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95"/>
          <c:w val="0.08975"/>
          <c:h val="0.81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7062151"/>
        <c:axId val="42232768"/>
      </c:lineChart>
      <c:catAx>
        <c:axId val="2706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32768"/>
        <c:crosses val="autoZero"/>
        <c:auto val="1"/>
        <c:lblOffset val="100"/>
        <c:tickLblSkip val="1"/>
        <c:noMultiLvlLbl val="0"/>
      </c:catAx>
      <c:valAx>
        <c:axId val="42232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62151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Na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data'!$AO$8:$AO$105</c:f>
              <c:numCache>
                <c:ptCount val="98"/>
                <c:pt idx="0">
                  <c:v>114.39130434782608</c:v>
                </c:pt>
                <c:pt idx="1">
                  <c:v>130.3913043478261</c:v>
                </c:pt>
                <c:pt idx="2">
                  <c:v>125.95652173913044</c:v>
                </c:pt>
                <c:pt idx="3">
                  <c:v>131.2173913043478</c:v>
                </c:pt>
                <c:pt idx="4">
                  <c:v>138.56521739130434</c:v>
                </c:pt>
                <c:pt idx="5">
                  <c:v>109.43478260869564</c:v>
                </c:pt>
                <c:pt idx="6">
                  <c:v>108.78260869565216</c:v>
                </c:pt>
                <c:pt idx="7">
                  <c:v>136.1304347826087</c:v>
                </c:pt>
                <c:pt idx="8">
                  <c:v>152.21739130434784</c:v>
                </c:pt>
                <c:pt idx="9">
                  <c:v>127.39130434782608</c:v>
                </c:pt>
                <c:pt idx="10">
                  <c:v>156</c:v>
                </c:pt>
                <c:pt idx="11">
                  <c:v>131.91304347826085</c:v>
                </c:pt>
                <c:pt idx="12">
                  <c:v>134.69565217391306</c:v>
                </c:pt>
                <c:pt idx="13">
                  <c:v>139.91304347826087</c:v>
                </c:pt>
                <c:pt idx="14">
                  <c:v>140.2173913043478</c:v>
                </c:pt>
                <c:pt idx="15">
                  <c:v>146.6521739130435</c:v>
                </c:pt>
                <c:pt idx="16">
                  <c:v>129</c:v>
                </c:pt>
                <c:pt idx="17">
                  <c:v>123.95652173913044</c:v>
                </c:pt>
                <c:pt idx="18">
                  <c:v>138.73913043478262</c:v>
                </c:pt>
                <c:pt idx="19">
                  <c:v>147.7826086956522</c:v>
                </c:pt>
                <c:pt idx="20">
                  <c:v>148.39130434782606</c:v>
                </c:pt>
                <c:pt idx="21">
                  <c:v>153.34782608695653</c:v>
                </c:pt>
                <c:pt idx="22">
                  <c:v>141.8695652173913</c:v>
                </c:pt>
                <c:pt idx="23">
                  <c:v>137.82608695652175</c:v>
                </c:pt>
                <c:pt idx="24">
                  <c:v>142.56521739130434</c:v>
                </c:pt>
                <c:pt idx="25">
                  <c:v>129.95652173913044</c:v>
                </c:pt>
                <c:pt idx="26">
                  <c:v>127.65217391304348</c:v>
                </c:pt>
                <c:pt idx="27">
                  <c:v>126.78260869565217</c:v>
                </c:pt>
                <c:pt idx="28">
                  <c:v>136.69565217391306</c:v>
                </c:pt>
                <c:pt idx="29">
                  <c:v>153.21739130434784</c:v>
                </c:pt>
                <c:pt idx="30">
                  <c:v>163.91304347826087</c:v>
                </c:pt>
                <c:pt idx="31">
                  <c:v>124.21739130434784</c:v>
                </c:pt>
                <c:pt idx="32">
                  <c:v>132.43478260869566</c:v>
                </c:pt>
                <c:pt idx="33">
                  <c:v>139.56521739130434</c:v>
                </c:pt>
                <c:pt idx="34">
                  <c:v>135.08695652173913</c:v>
                </c:pt>
                <c:pt idx="35">
                  <c:v>131.47826086956522</c:v>
                </c:pt>
                <c:pt idx="36">
                  <c:v>145.65217391304347</c:v>
                </c:pt>
                <c:pt idx="37">
                  <c:v>116.52173913043478</c:v>
                </c:pt>
                <c:pt idx="38">
                  <c:v>134.7826086956522</c:v>
                </c:pt>
                <c:pt idx="39">
                  <c:v>139.34782608695653</c:v>
                </c:pt>
                <c:pt idx="40">
                  <c:v>144.3478260869565</c:v>
                </c:pt>
                <c:pt idx="41">
                  <c:v>151.30434782608697</c:v>
                </c:pt>
                <c:pt idx="42">
                  <c:v>198.04347826086953</c:v>
                </c:pt>
                <c:pt idx="43">
                  <c:v>168.1304347826087</c:v>
                </c:pt>
                <c:pt idx="44">
                  <c:v>257.9130434782609</c:v>
                </c:pt>
                <c:pt idx="45">
                  <c:v>184.52173913043475</c:v>
                </c:pt>
                <c:pt idx="46">
                  <c:v>157.91304347826087</c:v>
                </c:pt>
                <c:pt idx="47">
                  <c:v>144.7826086956522</c:v>
                </c:pt>
                <c:pt idx="48">
                  <c:v>157.5217391304348</c:v>
                </c:pt>
                <c:pt idx="49">
                  <c:v>152.13043478260872</c:v>
                </c:pt>
                <c:pt idx="50">
                  <c:v>163.9565217391304</c:v>
                </c:pt>
                <c:pt idx="51">
                  <c:v>138.1304347826087</c:v>
                </c:pt>
                <c:pt idx="52">
                  <c:v>131.86956521739128</c:v>
                </c:pt>
                <c:pt idx="53">
                  <c:v>130.3913043478261</c:v>
                </c:pt>
                <c:pt idx="54">
                  <c:v>131.2173913043478</c:v>
                </c:pt>
                <c:pt idx="55">
                  <c:v>133.3913043478261</c:v>
                </c:pt>
                <c:pt idx="56">
                  <c:v>140.82608695652175</c:v>
                </c:pt>
                <c:pt idx="57">
                  <c:v>129.04347826086956</c:v>
                </c:pt>
                <c:pt idx="58">
                  <c:v>145.82608695652175</c:v>
                </c:pt>
                <c:pt idx="59">
                  <c:v>146.17391304347825</c:v>
                </c:pt>
                <c:pt idx="60">
                  <c:v>170.34782608695653</c:v>
                </c:pt>
                <c:pt idx="61">
                  <c:v>180.04347826086956</c:v>
                </c:pt>
                <c:pt idx="62">
                  <c:v>164.04347826086956</c:v>
                </c:pt>
                <c:pt idx="63">
                  <c:v>131.1304347826087</c:v>
                </c:pt>
                <c:pt idx="64">
                  <c:v>131.78260869565216</c:v>
                </c:pt>
                <c:pt idx="65">
                  <c:v>152.39130434782606</c:v>
                </c:pt>
                <c:pt idx="66">
                  <c:v>144.08695652173915</c:v>
                </c:pt>
                <c:pt idx="67">
                  <c:v>146.17391304347825</c:v>
                </c:pt>
                <c:pt idx="68">
                  <c:v>159.3913043478261</c:v>
                </c:pt>
                <c:pt idx="69">
                  <c:v>168.69565217391306</c:v>
                </c:pt>
                <c:pt idx="70">
                  <c:v>172.39130434782606</c:v>
                </c:pt>
                <c:pt idx="71">
                  <c:v>172.47826086956522</c:v>
                </c:pt>
                <c:pt idx="72">
                  <c:v>156.47826086956525</c:v>
                </c:pt>
                <c:pt idx="73">
                  <c:v>141.7826086956522</c:v>
                </c:pt>
                <c:pt idx="74">
                  <c:v>133.91304347826087</c:v>
                </c:pt>
                <c:pt idx="75">
                  <c:v>154.3913043478261</c:v>
                </c:pt>
                <c:pt idx="76">
                  <c:v>132.52173913043478</c:v>
                </c:pt>
                <c:pt idx="77">
                  <c:v>165.3913043478261</c:v>
                </c:pt>
                <c:pt idx="78">
                  <c:v>149.65217391304347</c:v>
                </c:pt>
                <c:pt idx="79">
                  <c:v>148.26086956521738</c:v>
                </c:pt>
                <c:pt idx="80">
                  <c:v>125.69565217391305</c:v>
                </c:pt>
                <c:pt idx="81">
                  <c:v>111.95652173913044</c:v>
                </c:pt>
                <c:pt idx="82">
                  <c:v>124.04347826086958</c:v>
                </c:pt>
                <c:pt idx="83">
                  <c:v>145.39130434782606</c:v>
                </c:pt>
                <c:pt idx="84">
                  <c:v>151.21739130434784</c:v>
                </c:pt>
                <c:pt idx="85">
                  <c:v>131.3913043478261</c:v>
                </c:pt>
                <c:pt idx="86">
                  <c:v>175.95652173913044</c:v>
                </c:pt>
                <c:pt idx="87">
                  <c:v>122.82608695652175</c:v>
                </c:pt>
                <c:pt idx="88">
                  <c:v>176.95652173913047</c:v>
                </c:pt>
                <c:pt idx="89">
                  <c:v>175.95652173913044</c:v>
                </c:pt>
                <c:pt idx="90">
                  <c:v>125.86956521739131</c:v>
                </c:pt>
                <c:pt idx="91">
                  <c:v>98.56521739130434</c:v>
                </c:pt>
                <c:pt idx="92">
                  <c:v>126.91304347826087</c:v>
                </c:pt>
                <c:pt idx="93">
                  <c:v>165.43478260869566</c:v>
                </c:pt>
                <c:pt idx="94">
                  <c:v>106.73913043478261</c:v>
                </c:pt>
                <c:pt idx="95">
                  <c:v>98</c:v>
                </c:pt>
                <c:pt idx="96">
                  <c:v>119.17391304347827</c:v>
                </c:pt>
                <c:pt idx="97">
                  <c:v>135.69565217391306</c:v>
                </c:pt>
              </c:numCache>
            </c:numRef>
          </c:val>
          <c:smooth val="0"/>
        </c:ser>
        <c:marker val="1"/>
        <c:axId val="44550593"/>
        <c:axId val="65411018"/>
      </c:lineChart>
      <c:dateAx>
        <c:axId val="44550593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101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541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50593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Na:Cl ratio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5"/>
          <c:y val="0.199"/>
          <c:w val="0.08925"/>
          <c:h val="0.77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828251"/>
        <c:axId val="63801076"/>
      </c:lineChart>
      <c:catAx>
        <c:axId val="51828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1076"/>
        <c:crosses val="autoZero"/>
        <c:auto val="1"/>
        <c:lblOffset val="100"/>
        <c:tickLblSkip val="1"/>
        <c:noMultiLvlLbl val="0"/>
      </c:catAx>
      <c:valAx>
        <c:axId val="6380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Na:Cl ratio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28251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Na:Cl Ratio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855"/>
          <c:w val="0.926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data'!$BS$8:$BS$105</c:f>
              <c:numCache>
                <c:ptCount val="98"/>
                <c:pt idx="0">
                  <c:v>1.2132411067193676</c:v>
                </c:pt>
                <c:pt idx="1">
                  <c:v>1.2841011964473588</c:v>
                </c:pt>
                <c:pt idx="2">
                  <c:v>1.301203736974488</c:v>
                </c:pt>
                <c:pt idx="3">
                  <c:v>1.3432608059819167</c:v>
                </c:pt>
                <c:pt idx="4">
                  <c:v>1.3132365580004473</c:v>
                </c:pt>
                <c:pt idx="5">
                  <c:v>0.8419910730499776</c:v>
                </c:pt>
                <c:pt idx="6">
                  <c:v>1.1516610115994632</c:v>
                </c:pt>
                <c:pt idx="7">
                  <c:v>1.0527099463966647</c:v>
                </c:pt>
                <c:pt idx="8">
                  <c:v>0.8729491554403039</c:v>
                </c:pt>
                <c:pt idx="9">
                  <c:v>1.0725753312903326</c:v>
                </c:pt>
                <c:pt idx="10">
                  <c:v>1.001834862385321</c:v>
                </c:pt>
                <c:pt idx="11">
                  <c:v>1.0280464310263036</c:v>
                </c:pt>
                <c:pt idx="12">
                  <c:v>1.0478657092880548</c:v>
                </c:pt>
                <c:pt idx="13">
                  <c:v>1.0352973618898798</c:v>
                </c:pt>
                <c:pt idx="14">
                  <c:v>1.1103187094235687</c:v>
                </c:pt>
                <c:pt idx="15">
                  <c:v>1.1986982921430458</c:v>
                </c:pt>
                <c:pt idx="16">
                  <c:v>1.0245064669843431</c:v>
                </c:pt>
                <c:pt idx="17">
                  <c:v>1.1369177832467414</c:v>
                </c:pt>
                <c:pt idx="18">
                  <c:v>1.1404108889660385</c:v>
                </c:pt>
                <c:pt idx="19">
                  <c:v>1.249973732321853</c:v>
                </c:pt>
                <c:pt idx="20">
                  <c:v>1.2089608128896443</c:v>
                </c:pt>
                <c:pt idx="21">
                  <c:v>1.2569493941553815</c:v>
                </c:pt>
                <c:pt idx="22">
                  <c:v>1.1536790851786003</c:v>
                </c:pt>
                <c:pt idx="23">
                  <c:v>1.2265225129616735</c:v>
                </c:pt>
                <c:pt idx="24">
                  <c:v>1.1489253070908707</c:v>
                </c:pt>
                <c:pt idx="25">
                  <c:v>1.142546661861232</c:v>
                </c:pt>
                <c:pt idx="26">
                  <c:v>1.1458902505659199</c:v>
                </c:pt>
                <c:pt idx="27">
                  <c:v>0.8622991263792898</c:v>
                </c:pt>
                <c:pt idx="28">
                  <c:v>1.0282286322989376</c:v>
                </c:pt>
                <c:pt idx="29">
                  <c:v>1.1642658913704245</c:v>
                </c:pt>
                <c:pt idx="30">
                  <c:v>1.2468933974655794</c:v>
                </c:pt>
                <c:pt idx="31">
                  <c:v>1.0833811850615935</c:v>
                </c:pt>
                <c:pt idx="32">
                  <c:v>1.170213933679462</c:v>
                </c:pt>
                <c:pt idx="33">
                  <c:v>1.2031484257871066</c:v>
                </c:pt>
                <c:pt idx="34">
                  <c:v>1.1565664085765337</c:v>
                </c:pt>
                <c:pt idx="35">
                  <c:v>1.0151775956520013</c:v>
                </c:pt>
                <c:pt idx="36">
                  <c:v>1.221914210679895</c:v>
                </c:pt>
                <c:pt idx="37">
                  <c:v>1.100151300125497</c:v>
                </c:pt>
                <c:pt idx="38">
                  <c:v>1.2077294685990339</c:v>
                </c:pt>
                <c:pt idx="39">
                  <c:v>1.599597872431446</c:v>
                </c:pt>
                <c:pt idx="40">
                  <c:v>1.086722717367924</c:v>
                </c:pt>
                <c:pt idx="41">
                  <c:v>1.1403213122121112</c:v>
                </c:pt>
                <c:pt idx="42">
                  <c:v>1.3337544235386636</c:v>
                </c:pt>
                <c:pt idx="43">
                  <c:v>1.2630532769674403</c:v>
                </c:pt>
                <c:pt idx="44">
                  <c:v>2.0963670510309176</c:v>
                </c:pt>
                <c:pt idx="45">
                  <c:v>1.458834621541725</c:v>
                </c:pt>
                <c:pt idx="46">
                  <c:v>1.38312225268747</c:v>
                </c:pt>
                <c:pt idx="47">
                  <c:v>1.407608695652174</c:v>
                </c:pt>
                <c:pt idx="48">
                  <c:v>1.4973549346999506</c:v>
                </c:pt>
                <c:pt idx="49">
                  <c:v>1.2931580203938091</c:v>
                </c:pt>
                <c:pt idx="50">
                  <c:v>1.3838796189872244</c:v>
                </c:pt>
                <c:pt idx="51">
                  <c:v>1.3020644269839223</c:v>
                </c:pt>
                <c:pt idx="52">
                  <c:v>1.1224306377939433</c:v>
                </c:pt>
                <c:pt idx="53">
                  <c:v>0.9593642321156008</c:v>
                </c:pt>
                <c:pt idx="54">
                  <c:v>1.1228872116508983</c:v>
                </c:pt>
                <c:pt idx="55">
                  <c:v>1.1468178954001262</c:v>
                </c:pt>
                <c:pt idx="56">
                  <c:v>0.8045891354029155</c:v>
                </c:pt>
                <c:pt idx="57">
                  <c:v>1.1007852154838984</c:v>
                </c:pt>
                <c:pt idx="58">
                  <c:v>1.1936185789238216</c:v>
                </c:pt>
                <c:pt idx="59">
                  <c:v>1.2567150470453794</c:v>
                </c:pt>
                <c:pt idx="60">
                  <c:v>1.4987868056921767</c:v>
                </c:pt>
                <c:pt idx="61">
                  <c:v>1.562102562997133</c:v>
                </c:pt>
                <c:pt idx="62">
                  <c:v>1.3608726568216247</c:v>
                </c:pt>
                <c:pt idx="63">
                  <c:v>1.0327554494579891</c:v>
                </c:pt>
                <c:pt idx="64">
                  <c:v>0.9992182201793384</c:v>
                </c:pt>
                <c:pt idx="65">
                  <c:v>1.1360374126036021</c:v>
                </c:pt>
                <c:pt idx="66">
                  <c:v>1.2551128616876233</c:v>
                </c:pt>
                <c:pt idx="67">
                  <c:v>1.0818538711189973</c:v>
                </c:pt>
                <c:pt idx="68">
                  <c:v>1.3918901327779225</c:v>
                </c:pt>
                <c:pt idx="69">
                  <c:v>1.4397336810746055</c:v>
                </c:pt>
                <c:pt idx="70">
                  <c:v>1.464844780814254</c:v>
                </c:pt>
                <c:pt idx="71">
                  <c:v>1.5395917190601334</c:v>
                </c:pt>
                <c:pt idx="72">
                  <c:v>1.338728704579512</c:v>
                </c:pt>
                <c:pt idx="73">
                  <c:v>1.2433954658851982</c:v>
                </c:pt>
                <c:pt idx="74">
                  <c:v>1.338365654408661</c:v>
                </c:pt>
                <c:pt idx="75">
                  <c:v>1.293988422455439</c:v>
                </c:pt>
                <c:pt idx="76">
                  <c:v>1.20945524630123</c:v>
                </c:pt>
                <c:pt idx="77">
                  <c:v>1.44320509902117</c:v>
                </c:pt>
                <c:pt idx="78">
                  <c:v>1.3871361459100957</c:v>
                </c:pt>
                <c:pt idx="79">
                  <c:v>1.455984970477724</c:v>
                </c:pt>
                <c:pt idx="80">
                  <c:v>1.3799710872292836</c:v>
                </c:pt>
                <c:pt idx="81">
                  <c:v>1.507107023411371</c:v>
                </c:pt>
                <c:pt idx="82">
                  <c:v>1.3571496527447438</c:v>
                </c:pt>
                <c:pt idx="83">
                  <c:v>1.4064940995505562</c:v>
                </c:pt>
                <c:pt idx="84">
                  <c:v>1.3399009356081455</c:v>
                </c:pt>
                <c:pt idx="85">
                  <c:v>1.360560843838436</c:v>
                </c:pt>
                <c:pt idx="86">
                  <c:v>1.6568410709899288</c:v>
                </c:pt>
                <c:pt idx="87">
                  <c:v>2.029703986533646</c:v>
                </c:pt>
                <c:pt idx="88">
                  <c:v>2.0299830419107066</c:v>
                </c:pt>
                <c:pt idx="89">
                  <c:v>1.805475890023326</c:v>
                </c:pt>
                <c:pt idx="90">
                  <c:v>1.3041547609854043</c:v>
                </c:pt>
                <c:pt idx="91">
                  <c:v>1.0221578099838968</c:v>
                </c:pt>
                <c:pt idx="92">
                  <c:v>1.3192624062189282</c:v>
                </c:pt>
                <c:pt idx="93">
                  <c:v>1.7237920188461886</c:v>
                </c:pt>
                <c:pt idx="94">
                  <c:v>1.297627497470438</c:v>
                </c:pt>
                <c:pt idx="95">
                  <c:v>0.9847832328452483</c:v>
                </c:pt>
                <c:pt idx="96">
                  <c:v>1.1723122418554637</c:v>
                </c:pt>
                <c:pt idx="97">
                  <c:v>1.1990274743971112</c:v>
                </c:pt>
              </c:numCache>
            </c:numRef>
          </c:val>
          <c:smooth val="0"/>
        </c:ser>
        <c:marker val="1"/>
        <c:axId val="37338773"/>
        <c:axId val="504638"/>
      </c:lineChart>
      <c:dateAx>
        <c:axId val="37338773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3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0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Na:Cl ratio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38773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NH</a:t>
            </a:r>
            <a:r>
              <a:rPr lang="en-US" cap="none" sz="1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-N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685"/>
          <c:w val="0.089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41743"/>
        <c:axId val="40875688"/>
      </c:lineChart>
      <c:catAx>
        <c:axId val="454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75688"/>
        <c:crosses val="autoZero"/>
        <c:auto val="1"/>
        <c:lblOffset val="100"/>
        <c:tickLblSkip val="1"/>
        <c:noMultiLvlLbl val="0"/>
      </c:catAx>
      <c:valAx>
        <c:axId val="40875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743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NH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9575"/>
          <c:w val="0.92225"/>
          <c:h val="0.6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data'!$AI$8:$AI$105</c:f>
              <c:numCache>
                <c:ptCount val="98"/>
                <c:pt idx="0">
                  <c:v>1.6928571428571428</c:v>
                </c:pt>
                <c:pt idx="1">
                  <c:v>1.5071428571428573</c:v>
                </c:pt>
                <c:pt idx="2">
                  <c:v>5.607142857142858</c:v>
                </c:pt>
                <c:pt idx="3">
                  <c:v>1.4714285714285715</c:v>
                </c:pt>
                <c:pt idx="4">
                  <c:v>1.3285714285714285</c:v>
                </c:pt>
                <c:pt idx="5">
                  <c:v>5.200000000000001</c:v>
                </c:pt>
                <c:pt idx="6">
                  <c:v>1.3857142857142857</c:v>
                </c:pt>
                <c:pt idx="7">
                  <c:v>1.4928571428571429</c:v>
                </c:pt>
                <c:pt idx="8">
                  <c:v>1.1785714285714286</c:v>
                </c:pt>
                <c:pt idx="9">
                  <c:v>1.142857142857143</c:v>
                </c:pt>
                <c:pt idx="10">
                  <c:v>0.7142857142857143</c:v>
                </c:pt>
                <c:pt idx="11">
                  <c:v>0.7207142857142856</c:v>
                </c:pt>
                <c:pt idx="12">
                  <c:v>0.7142857142857143</c:v>
                </c:pt>
                <c:pt idx="13">
                  <c:v>0.7142857142857143</c:v>
                </c:pt>
                <c:pt idx="14">
                  <c:v>0.7142857142857143</c:v>
                </c:pt>
                <c:pt idx="15">
                  <c:v>0.7142857142857143</c:v>
                </c:pt>
                <c:pt idx="16">
                  <c:v>0.7142857142857143</c:v>
                </c:pt>
                <c:pt idx="17">
                  <c:v>0.7285714285714285</c:v>
                </c:pt>
                <c:pt idx="18">
                  <c:v>0.7185714285714285</c:v>
                </c:pt>
                <c:pt idx="19">
                  <c:v>0.7185714285714285</c:v>
                </c:pt>
                <c:pt idx="20">
                  <c:v>1.7214285714285715</c:v>
                </c:pt>
                <c:pt idx="21">
                  <c:v>0.7142857142857143</c:v>
                </c:pt>
                <c:pt idx="22">
                  <c:v>0.7142857142857143</c:v>
                </c:pt>
                <c:pt idx="23">
                  <c:v>0.7142857142857143</c:v>
                </c:pt>
                <c:pt idx="24">
                  <c:v>0.7142857142857143</c:v>
                </c:pt>
                <c:pt idx="25">
                  <c:v>0.7185714285714285</c:v>
                </c:pt>
                <c:pt idx="26">
                  <c:v>3.8714285714285714</c:v>
                </c:pt>
                <c:pt idx="27">
                  <c:v>0.7142857142857143</c:v>
                </c:pt>
                <c:pt idx="28">
                  <c:v>0.7142857142857143</c:v>
                </c:pt>
                <c:pt idx="29">
                  <c:v>0.7142857142857143</c:v>
                </c:pt>
                <c:pt idx="30">
                  <c:v>0.9785714285714286</c:v>
                </c:pt>
                <c:pt idx="31">
                  <c:v>1.0285714285714287</c:v>
                </c:pt>
                <c:pt idx="32">
                  <c:v>0.7142857142857143</c:v>
                </c:pt>
                <c:pt idx="33">
                  <c:v>21.428571428571427</c:v>
                </c:pt>
                <c:pt idx="34">
                  <c:v>3.5714285714285716</c:v>
                </c:pt>
                <c:pt idx="35">
                  <c:v>0.7142857142857143</c:v>
                </c:pt>
                <c:pt idx="36">
                  <c:v>1.0714285714285714</c:v>
                </c:pt>
                <c:pt idx="37">
                  <c:v>0.7142857142857143</c:v>
                </c:pt>
                <c:pt idx="38">
                  <c:v>0.9285714285714286</c:v>
                </c:pt>
                <c:pt idx="39">
                  <c:v>0.7142857142857143</c:v>
                </c:pt>
                <c:pt idx="40">
                  <c:v>0.7142857142857143</c:v>
                </c:pt>
                <c:pt idx="41">
                  <c:v>0.7142857142857143</c:v>
                </c:pt>
                <c:pt idx="42">
                  <c:v>0.7142857142857143</c:v>
                </c:pt>
                <c:pt idx="43">
                  <c:v>1.9285714285714286</c:v>
                </c:pt>
                <c:pt idx="44">
                  <c:v>1.2142857142857144</c:v>
                </c:pt>
                <c:pt idx="45">
                  <c:v>3.7142857142857144</c:v>
                </c:pt>
                <c:pt idx="46">
                  <c:v>4.071428571428571</c:v>
                </c:pt>
                <c:pt idx="47">
                  <c:v>1.2142857142857144</c:v>
                </c:pt>
                <c:pt idx="48">
                  <c:v>0.7142857142857143</c:v>
                </c:pt>
                <c:pt idx="49">
                  <c:v>0.7142857142857143</c:v>
                </c:pt>
                <c:pt idx="50">
                  <c:v>1.7142857142857144</c:v>
                </c:pt>
                <c:pt idx="51">
                  <c:v>1</c:v>
                </c:pt>
                <c:pt idx="52">
                  <c:v>0.7142857142857143</c:v>
                </c:pt>
                <c:pt idx="53">
                  <c:v>0.7142857142857143</c:v>
                </c:pt>
                <c:pt idx="54">
                  <c:v>0.7142857142857143</c:v>
                </c:pt>
                <c:pt idx="55">
                  <c:v>0.7142857142857143</c:v>
                </c:pt>
                <c:pt idx="56">
                  <c:v>1.2142857142857144</c:v>
                </c:pt>
                <c:pt idx="57">
                  <c:v>0.7142857142857143</c:v>
                </c:pt>
                <c:pt idx="58">
                  <c:v>0.7142857142857143</c:v>
                </c:pt>
                <c:pt idx="59">
                  <c:v>0.7142857142857143</c:v>
                </c:pt>
                <c:pt idx="60">
                  <c:v>0.7142857142857143</c:v>
                </c:pt>
                <c:pt idx="61">
                  <c:v>0.7142857142857143</c:v>
                </c:pt>
                <c:pt idx="62">
                  <c:v>0.7142857142857143</c:v>
                </c:pt>
                <c:pt idx="63">
                  <c:v>0.7142857142857143</c:v>
                </c:pt>
                <c:pt idx="64">
                  <c:v>0.9285714285714286</c:v>
                </c:pt>
                <c:pt idx="65">
                  <c:v>0.7142857142857143</c:v>
                </c:pt>
                <c:pt idx="66">
                  <c:v>0.7142857142857143</c:v>
                </c:pt>
                <c:pt idx="67">
                  <c:v>0.7142857142857143</c:v>
                </c:pt>
                <c:pt idx="68">
                  <c:v>0.7142857142857143</c:v>
                </c:pt>
                <c:pt idx="69">
                  <c:v>0.7142857142857143</c:v>
                </c:pt>
                <c:pt idx="70">
                  <c:v>0.7142857142857143</c:v>
                </c:pt>
                <c:pt idx="71">
                  <c:v>0.7142857142857143</c:v>
                </c:pt>
                <c:pt idx="72">
                  <c:v>1.5</c:v>
                </c:pt>
                <c:pt idx="73">
                  <c:v>1.1814285714285713</c:v>
                </c:pt>
                <c:pt idx="74">
                  <c:v>1.142857142857143</c:v>
                </c:pt>
                <c:pt idx="75">
                  <c:v>1.2142857142857144</c:v>
                </c:pt>
                <c:pt idx="76">
                  <c:v>0.7142857142857143</c:v>
                </c:pt>
                <c:pt idx="77">
                  <c:v>0.7142857142857143</c:v>
                </c:pt>
                <c:pt idx="78">
                  <c:v>0.7142857142857143</c:v>
                </c:pt>
                <c:pt idx="79">
                  <c:v>0.7142857142857143</c:v>
                </c:pt>
                <c:pt idx="80">
                  <c:v>0.7142857142857143</c:v>
                </c:pt>
                <c:pt idx="81">
                  <c:v>0.7142857142857143</c:v>
                </c:pt>
                <c:pt idx="82">
                  <c:v>0.7142857142857143</c:v>
                </c:pt>
                <c:pt idx="83">
                  <c:v>0.7142857142857143</c:v>
                </c:pt>
                <c:pt idx="84">
                  <c:v>0.7142857142857143</c:v>
                </c:pt>
                <c:pt idx="85">
                  <c:v>0.7142857142857143</c:v>
                </c:pt>
                <c:pt idx="86">
                  <c:v>0.7142857142857143</c:v>
                </c:pt>
                <c:pt idx="87">
                  <c:v>0.7142857142857143</c:v>
                </c:pt>
                <c:pt idx="88">
                  <c:v>1.6428571428571428</c:v>
                </c:pt>
                <c:pt idx="89">
                  <c:v>0.7142857142857143</c:v>
                </c:pt>
                <c:pt idx="90">
                  <c:v>0.7857142857142856</c:v>
                </c:pt>
                <c:pt idx="91">
                  <c:v>0.7142857142857143</c:v>
                </c:pt>
                <c:pt idx="92">
                  <c:v>0.7142857142857143</c:v>
                </c:pt>
                <c:pt idx="93">
                  <c:v>0.7142857142857143</c:v>
                </c:pt>
                <c:pt idx="94">
                  <c:v>0.7142857142857143</c:v>
                </c:pt>
                <c:pt idx="95">
                  <c:v>0.7142857142857143</c:v>
                </c:pt>
                <c:pt idx="96">
                  <c:v>0.7142857142857143</c:v>
                </c:pt>
                <c:pt idx="97">
                  <c:v>1.5714285714285712</c:v>
                </c:pt>
              </c:numCache>
            </c:numRef>
          </c:val>
          <c:smooth val="0"/>
        </c:ser>
        <c:marker val="1"/>
        <c:axId val="32336873"/>
        <c:axId val="22596402"/>
      </c:lineChart>
      <c:dateAx>
        <c:axId val="32336873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640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2596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36873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9625"/>
          <c:w val="0.92125"/>
          <c:h val="0.63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data'!$AJ$8:$AJ$105</c:f>
              <c:numCache>
                <c:ptCount val="98"/>
                <c:pt idx="0">
                  <c:v>1.7866642857142856</c:v>
                </c:pt>
                <c:pt idx="1">
                  <c:v>3.8207142857142857</c:v>
                </c:pt>
                <c:pt idx="2">
                  <c:v>2.374285714285714</c:v>
                </c:pt>
                <c:pt idx="3">
                  <c:v>6.302857142857143</c:v>
                </c:pt>
                <c:pt idx="4">
                  <c:v>6.790714285714286</c:v>
                </c:pt>
                <c:pt idx="5">
                  <c:v>3.485714285714286</c:v>
                </c:pt>
                <c:pt idx="6">
                  <c:v>2.8242857142857143</c:v>
                </c:pt>
                <c:pt idx="7">
                  <c:v>4.504285714285715</c:v>
                </c:pt>
                <c:pt idx="8">
                  <c:v>3.395714285714286</c:v>
                </c:pt>
                <c:pt idx="9">
                  <c:v>6.642857142857143</c:v>
                </c:pt>
                <c:pt idx="10">
                  <c:v>1.7910714285714286</c:v>
                </c:pt>
                <c:pt idx="11">
                  <c:v>1.787907142857143</c:v>
                </c:pt>
                <c:pt idx="12">
                  <c:v>1.7889714285714287</c:v>
                </c:pt>
                <c:pt idx="13">
                  <c:v>1.7885714285714287</c:v>
                </c:pt>
                <c:pt idx="14">
                  <c:v>1.7923071428571429</c:v>
                </c:pt>
                <c:pt idx="15">
                  <c:v>1.7857142857142858</c:v>
                </c:pt>
                <c:pt idx="16">
                  <c:v>1.7925642857142858</c:v>
                </c:pt>
                <c:pt idx="17">
                  <c:v>1.7857142857142858</c:v>
                </c:pt>
                <c:pt idx="18">
                  <c:v>1.7857142857142858</c:v>
                </c:pt>
                <c:pt idx="19">
                  <c:v>1.7923571428571428</c:v>
                </c:pt>
                <c:pt idx="20">
                  <c:v>1.7927142857142857</c:v>
                </c:pt>
                <c:pt idx="21">
                  <c:v>1.7916785714285715</c:v>
                </c:pt>
                <c:pt idx="22">
                  <c:v>1.78745</c:v>
                </c:pt>
                <c:pt idx="23">
                  <c:v>1.7857142857142858</c:v>
                </c:pt>
                <c:pt idx="24">
                  <c:v>1.7857142857142858</c:v>
                </c:pt>
                <c:pt idx="25">
                  <c:v>3.255714285714286</c:v>
                </c:pt>
                <c:pt idx="26">
                  <c:v>2.763571428571429</c:v>
                </c:pt>
                <c:pt idx="27">
                  <c:v>3.4207142857142863</c:v>
                </c:pt>
                <c:pt idx="28">
                  <c:v>5.925714285714286</c:v>
                </c:pt>
                <c:pt idx="29">
                  <c:v>6.256428571428572</c:v>
                </c:pt>
                <c:pt idx="30">
                  <c:v>6.560714285714286</c:v>
                </c:pt>
                <c:pt idx="31">
                  <c:v>2.672857142857143</c:v>
                </c:pt>
                <c:pt idx="32">
                  <c:v>1.7897142857142856</c:v>
                </c:pt>
                <c:pt idx="33">
                  <c:v>1.7872142857142859</c:v>
                </c:pt>
                <c:pt idx="34">
                  <c:v>1.7883642857142859</c:v>
                </c:pt>
                <c:pt idx="35">
                  <c:v>1.7857142857142858</c:v>
                </c:pt>
                <c:pt idx="36">
                  <c:v>1.7878571428571428</c:v>
                </c:pt>
                <c:pt idx="37">
                  <c:v>1.7857142857142858</c:v>
                </c:pt>
                <c:pt idx="38">
                  <c:v>2.142857142857143</c:v>
                </c:pt>
                <c:pt idx="39">
                  <c:v>2.928571428571429</c:v>
                </c:pt>
                <c:pt idx="40">
                  <c:v>3.857142857142857</c:v>
                </c:pt>
                <c:pt idx="41">
                  <c:v>2.428571428571429</c:v>
                </c:pt>
                <c:pt idx="42">
                  <c:v>6.151428571428571</c:v>
                </c:pt>
                <c:pt idx="43">
                  <c:v>2.857142857142857</c:v>
                </c:pt>
                <c:pt idx="44">
                  <c:v>1.7857142857142858</c:v>
                </c:pt>
                <c:pt idx="45">
                  <c:v>1.7857142857142858</c:v>
                </c:pt>
                <c:pt idx="46">
                  <c:v>1.7857142857142858</c:v>
                </c:pt>
                <c:pt idx="47">
                  <c:v>1.7857142857142858</c:v>
                </c:pt>
                <c:pt idx="48">
                  <c:v>1.7857142857142858</c:v>
                </c:pt>
                <c:pt idx="49">
                  <c:v>1.7857142857142858</c:v>
                </c:pt>
                <c:pt idx="50">
                  <c:v>1.7857142857142858</c:v>
                </c:pt>
                <c:pt idx="51">
                  <c:v>3.619285714285714</c:v>
                </c:pt>
                <c:pt idx="52">
                  <c:v>3.9414285714285713</c:v>
                </c:pt>
                <c:pt idx="53">
                  <c:v>2.109285714285714</c:v>
                </c:pt>
                <c:pt idx="54">
                  <c:v>3.897857142857143</c:v>
                </c:pt>
                <c:pt idx="55">
                  <c:v>1.8285714285714287</c:v>
                </c:pt>
                <c:pt idx="56">
                  <c:v>4.002142857142858</c:v>
                </c:pt>
                <c:pt idx="57">
                  <c:v>4.279285714285714</c:v>
                </c:pt>
                <c:pt idx="58">
                  <c:v>3.8321428571428573</c:v>
                </c:pt>
                <c:pt idx="59">
                  <c:v>2.1607142857142856</c:v>
                </c:pt>
                <c:pt idx="60">
                  <c:v>1.7871428571428571</c:v>
                </c:pt>
                <c:pt idx="61">
                  <c:v>1.7857142857142858</c:v>
                </c:pt>
                <c:pt idx="62">
                  <c:v>2.6671428571428573</c:v>
                </c:pt>
                <c:pt idx="63">
                  <c:v>1.8484999999999998</c:v>
                </c:pt>
                <c:pt idx="64">
                  <c:v>1.7960714285714285</c:v>
                </c:pt>
                <c:pt idx="65">
                  <c:v>3.719285714285714</c:v>
                </c:pt>
                <c:pt idx="66">
                  <c:v>2.6742857142857144</c:v>
                </c:pt>
                <c:pt idx="67">
                  <c:v>1.7857142857142858</c:v>
                </c:pt>
                <c:pt idx="68">
                  <c:v>1.8422142857142858</c:v>
                </c:pt>
                <c:pt idx="69">
                  <c:v>1.7934999999999999</c:v>
                </c:pt>
                <c:pt idx="70">
                  <c:v>1.8439285714285714</c:v>
                </c:pt>
                <c:pt idx="71">
                  <c:v>1.814357142857143</c:v>
                </c:pt>
                <c:pt idx="72">
                  <c:v>1.7857142857142858</c:v>
                </c:pt>
                <c:pt idx="73">
                  <c:v>1.8372142857142857</c:v>
                </c:pt>
                <c:pt idx="74">
                  <c:v>1.7857142857142858</c:v>
                </c:pt>
                <c:pt idx="75">
                  <c:v>1.8236428571428571</c:v>
                </c:pt>
                <c:pt idx="76">
                  <c:v>1.8349285714285712</c:v>
                </c:pt>
                <c:pt idx="77">
                  <c:v>2.4892857142857143</c:v>
                </c:pt>
                <c:pt idx="78">
                  <c:v>3.0964285714285715</c:v>
                </c:pt>
                <c:pt idx="79">
                  <c:v>5.482857142857142</c:v>
                </c:pt>
                <c:pt idx="80">
                  <c:v>4.335714285714285</c:v>
                </c:pt>
                <c:pt idx="81">
                  <c:v>3.7957142857142854</c:v>
                </c:pt>
                <c:pt idx="82">
                  <c:v>2.9278571428571425</c:v>
                </c:pt>
                <c:pt idx="83">
                  <c:v>1.7857142857142858</c:v>
                </c:pt>
                <c:pt idx="84">
                  <c:v>1.7857142857142858</c:v>
                </c:pt>
                <c:pt idx="85">
                  <c:v>1.7857142857142858</c:v>
                </c:pt>
                <c:pt idx="86">
                  <c:v>1.7857142857142858</c:v>
                </c:pt>
                <c:pt idx="87">
                  <c:v>1.8539285714285711</c:v>
                </c:pt>
                <c:pt idx="88">
                  <c:v>1.837142857142857</c:v>
                </c:pt>
                <c:pt idx="89">
                  <c:v>1.7857142857142858</c:v>
                </c:pt>
                <c:pt idx="90">
                  <c:v>3.295714285714286</c:v>
                </c:pt>
                <c:pt idx="91">
                  <c:v>1.7993571428571429</c:v>
                </c:pt>
                <c:pt idx="92">
                  <c:v>3.717142857142857</c:v>
                </c:pt>
                <c:pt idx="93">
                  <c:v>6.224285714285714</c:v>
                </c:pt>
                <c:pt idx="94">
                  <c:v>2.3857142857142857</c:v>
                </c:pt>
                <c:pt idx="95">
                  <c:v>1.800357142857143</c:v>
                </c:pt>
                <c:pt idx="96">
                  <c:v>4.904285714285714</c:v>
                </c:pt>
                <c:pt idx="97">
                  <c:v>2.8857142857142857</c:v>
                </c:pt>
              </c:numCache>
            </c:numRef>
          </c:val>
          <c:smooth val="0"/>
        </c:ser>
        <c:marker val="1"/>
        <c:axId val="2041027"/>
        <c:axId val="18369244"/>
      </c:lineChart>
      <c:dateAx>
        <c:axId val="2041027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924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8369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27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P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125"/>
          <c:w val="0.08975"/>
          <c:h val="0.82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105469"/>
        <c:axId val="11513766"/>
      </c:lineChart>
      <c:catAx>
        <c:axId val="31105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3766"/>
        <c:crosses val="autoZero"/>
        <c:auto val="1"/>
        <c:lblOffset val="100"/>
        <c:tickLblSkip val="1"/>
        <c:noMultiLvlLbl val="0"/>
      </c:catAx>
      <c:valAx>
        <c:axId val="1151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5469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P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data'!$AS$8:$AS$105</c:f>
              <c:numCache>
                <c:ptCount val="98"/>
                <c:pt idx="0">
                  <c:v>4.838709677419355</c:v>
                </c:pt>
                <c:pt idx="1">
                  <c:v>4.838709677419355</c:v>
                </c:pt>
                <c:pt idx="2">
                  <c:v>4.838709677419355</c:v>
                </c:pt>
                <c:pt idx="3">
                  <c:v>4.838709677419355</c:v>
                </c:pt>
                <c:pt idx="4">
                  <c:v>4.838709677419355</c:v>
                </c:pt>
                <c:pt idx="5">
                  <c:v>4.838709677419355</c:v>
                </c:pt>
                <c:pt idx="6">
                  <c:v>4.838709677419355</c:v>
                </c:pt>
                <c:pt idx="7">
                  <c:v>4.838709677419355</c:v>
                </c:pt>
                <c:pt idx="8">
                  <c:v>4.838709677419355</c:v>
                </c:pt>
                <c:pt idx="9">
                  <c:v>4.838709677419355</c:v>
                </c:pt>
                <c:pt idx="10">
                  <c:v>4.838709677419355</c:v>
                </c:pt>
                <c:pt idx="11">
                  <c:v>4.838709677419355</c:v>
                </c:pt>
                <c:pt idx="12">
                  <c:v>4.838709677419355</c:v>
                </c:pt>
                <c:pt idx="13">
                  <c:v>4.838709677419355</c:v>
                </c:pt>
                <c:pt idx="14">
                  <c:v>4.838709677419355</c:v>
                </c:pt>
                <c:pt idx="15">
                  <c:v>4.838709677419355</c:v>
                </c:pt>
                <c:pt idx="16">
                  <c:v>4.838709677419355</c:v>
                </c:pt>
                <c:pt idx="17">
                  <c:v>4.838709677419355</c:v>
                </c:pt>
                <c:pt idx="18">
                  <c:v>4.838709677419355</c:v>
                </c:pt>
                <c:pt idx="19">
                  <c:v>4.838709677419355</c:v>
                </c:pt>
                <c:pt idx="20">
                  <c:v>4.838709677419355</c:v>
                </c:pt>
                <c:pt idx="21">
                  <c:v>4.838709677419355</c:v>
                </c:pt>
                <c:pt idx="22">
                  <c:v>4.838709677419355</c:v>
                </c:pt>
                <c:pt idx="23">
                  <c:v>4.838709677419355</c:v>
                </c:pt>
                <c:pt idx="24">
                  <c:v>4.838709677419355</c:v>
                </c:pt>
                <c:pt idx="25">
                  <c:v>4.838709677419355</c:v>
                </c:pt>
                <c:pt idx="26">
                  <c:v>4.838709677419355</c:v>
                </c:pt>
                <c:pt idx="27">
                  <c:v>5.187096774193549</c:v>
                </c:pt>
                <c:pt idx="28">
                  <c:v>4.838709677419355</c:v>
                </c:pt>
                <c:pt idx="29">
                  <c:v>4.838709677419355</c:v>
                </c:pt>
                <c:pt idx="30">
                  <c:v>4.838709677419355</c:v>
                </c:pt>
                <c:pt idx="31">
                  <c:v>4.838709677419355</c:v>
                </c:pt>
                <c:pt idx="32">
                  <c:v>4.838709677419355</c:v>
                </c:pt>
                <c:pt idx="33">
                  <c:v>4.838709677419355</c:v>
                </c:pt>
                <c:pt idx="34">
                  <c:v>4.838709677419355</c:v>
                </c:pt>
                <c:pt idx="35">
                  <c:v>4.838709677419355</c:v>
                </c:pt>
                <c:pt idx="36">
                  <c:v>4.838709677419355</c:v>
                </c:pt>
                <c:pt idx="37">
                  <c:v>7.7419</c:v>
                </c:pt>
                <c:pt idx="38">
                  <c:v>4.838709677419355</c:v>
                </c:pt>
                <c:pt idx="39">
                  <c:v>4.838709677419355</c:v>
                </c:pt>
                <c:pt idx="40">
                  <c:v>4.838709677419355</c:v>
                </c:pt>
                <c:pt idx="41">
                  <c:v>7.741935483870968</c:v>
                </c:pt>
                <c:pt idx="42">
                  <c:v>4.838709677419355</c:v>
                </c:pt>
                <c:pt idx="43">
                  <c:v>4.838709677419355</c:v>
                </c:pt>
                <c:pt idx="44">
                  <c:v>4.838709677419355</c:v>
                </c:pt>
                <c:pt idx="45">
                  <c:v>4.838709677419355</c:v>
                </c:pt>
                <c:pt idx="46">
                  <c:v>4.838709677419355</c:v>
                </c:pt>
                <c:pt idx="47">
                  <c:v>4.838709677419355</c:v>
                </c:pt>
                <c:pt idx="48">
                  <c:v>4.838709677419355</c:v>
                </c:pt>
                <c:pt idx="49">
                  <c:v>4.838709677419355</c:v>
                </c:pt>
                <c:pt idx="50">
                  <c:v>4.838709677419355</c:v>
                </c:pt>
                <c:pt idx="51">
                  <c:v>4.838709677419355</c:v>
                </c:pt>
                <c:pt idx="52">
                  <c:v>4.838709677419355</c:v>
                </c:pt>
                <c:pt idx="53">
                  <c:v>4.838709677419355</c:v>
                </c:pt>
                <c:pt idx="54">
                  <c:v>4.838709677419355</c:v>
                </c:pt>
                <c:pt idx="55">
                  <c:v>4.838709677419355</c:v>
                </c:pt>
                <c:pt idx="56">
                  <c:v>4.838709677419355</c:v>
                </c:pt>
                <c:pt idx="57">
                  <c:v>4.838709677419355</c:v>
                </c:pt>
                <c:pt idx="58">
                  <c:v>4.838709677419355</c:v>
                </c:pt>
                <c:pt idx="59">
                  <c:v>6.155806451612903</c:v>
                </c:pt>
                <c:pt idx="60">
                  <c:v>4.838709677419355</c:v>
                </c:pt>
                <c:pt idx="61">
                  <c:v>4.838709677419355</c:v>
                </c:pt>
                <c:pt idx="62">
                  <c:v>4.838709677419355</c:v>
                </c:pt>
                <c:pt idx="63">
                  <c:v>4.838709677419355</c:v>
                </c:pt>
                <c:pt idx="64">
                  <c:v>4.838709677419355</c:v>
                </c:pt>
                <c:pt idx="65">
                  <c:v>4.838709677419355</c:v>
                </c:pt>
                <c:pt idx="66">
                  <c:v>4.838709677419355</c:v>
                </c:pt>
                <c:pt idx="67">
                  <c:v>4.838709677419355</c:v>
                </c:pt>
                <c:pt idx="68">
                  <c:v>4.838709677419355</c:v>
                </c:pt>
                <c:pt idx="69">
                  <c:v>4.838709677419355</c:v>
                </c:pt>
                <c:pt idx="70">
                  <c:v>4.838709677419355</c:v>
                </c:pt>
                <c:pt idx="71">
                  <c:v>4.838709677419355</c:v>
                </c:pt>
                <c:pt idx="72">
                  <c:v>4.838709677419355</c:v>
                </c:pt>
                <c:pt idx="73">
                  <c:v>4.838709677419355</c:v>
                </c:pt>
                <c:pt idx="74">
                  <c:v>4.838709677419355</c:v>
                </c:pt>
                <c:pt idx="75">
                  <c:v>4.838709677419355</c:v>
                </c:pt>
                <c:pt idx="76">
                  <c:v>4.838709677419355</c:v>
                </c:pt>
                <c:pt idx="77">
                  <c:v>4.838709677419355</c:v>
                </c:pt>
                <c:pt idx="78">
                  <c:v>4.838709677419355</c:v>
                </c:pt>
                <c:pt idx="79">
                  <c:v>4.838709677419355</c:v>
                </c:pt>
                <c:pt idx="80">
                  <c:v>4.838709677419355</c:v>
                </c:pt>
                <c:pt idx="81">
                  <c:v>4.838709677419355</c:v>
                </c:pt>
                <c:pt idx="82">
                  <c:v>4.838709677419355</c:v>
                </c:pt>
                <c:pt idx="83">
                  <c:v>4.838709677419355</c:v>
                </c:pt>
                <c:pt idx="84">
                  <c:v>4.838709677419355</c:v>
                </c:pt>
                <c:pt idx="85">
                  <c:v>4.838709677419355</c:v>
                </c:pt>
                <c:pt idx="86">
                  <c:v>4.838709677419355</c:v>
                </c:pt>
                <c:pt idx="87">
                  <c:v>4.838709677419355</c:v>
                </c:pt>
                <c:pt idx="88">
                  <c:v>4.838709677419355</c:v>
                </c:pt>
                <c:pt idx="89">
                  <c:v>4.838709677419355</c:v>
                </c:pt>
                <c:pt idx="90">
                  <c:v>4.838709677419355</c:v>
                </c:pt>
                <c:pt idx="91">
                  <c:v>4.838709677419355</c:v>
                </c:pt>
                <c:pt idx="92">
                  <c:v>4.838709677419355</c:v>
                </c:pt>
                <c:pt idx="93">
                  <c:v>4.838709677419355</c:v>
                </c:pt>
                <c:pt idx="94">
                  <c:v>4.838709677419355</c:v>
                </c:pt>
                <c:pt idx="95">
                  <c:v>4.838709677419355</c:v>
                </c:pt>
                <c:pt idx="96">
                  <c:v>4.838709677419355</c:v>
                </c:pt>
                <c:pt idx="97">
                  <c:v>4.838709677419355</c:v>
                </c:pt>
              </c:numCache>
            </c:numRef>
          </c:val>
          <c:smooth val="0"/>
        </c:ser>
        <c:marker val="1"/>
        <c:axId val="36515031"/>
        <c:axId val="60199824"/>
      </c:lineChart>
      <c:dateAx>
        <c:axId val="3651503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982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0199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5031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pH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5"/>
          <c:y val="0.1595"/>
          <c:w val="0.08925"/>
          <c:h val="0.81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27505"/>
        <c:axId val="44347546"/>
      </c:lineChart>
      <c:catAx>
        <c:axId val="492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7546"/>
        <c:crosses val="autoZero"/>
        <c:auto val="1"/>
        <c:lblOffset val="100"/>
        <c:tickLblSkip val="1"/>
        <c:noMultiLvlLbl val="0"/>
      </c:catAx>
      <c:valAx>
        <c:axId val="44347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750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data'!$AM$8:$AM$105</c:f>
              <c:numCache>
                <c:ptCount val="98"/>
                <c:pt idx="0">
                  <c:v>30.864999999999995</c:v>
                </c:pt>
                <c:pt idx="1">
                  <c:v>48.5</c:v>
                </c:pt>
                <c:pt idx="2">
                  <c:v>54.400000000000006</c:v>
                </c:pt>
                <c:pt idx="3">
                  <c:v>48.105</c:v>
                </c:pt>
                <c:pt idx="4">
                  <c:v>53.75</c:v>
                </c:pt>
                <c:pt idx="5">
                  <c:v>35.17</c:v>
                </c:pt>
                <c:pt idx="6">
                  <c:v>25.81</c:v>
                </c:pt>
                <c:pt idx="7">
                  <c:v>49.26</c:v>
                </c:pt>
                <c:pt idx="8">
                  <c:v>51.2</c:v>
                </c:pt>
                <c:pt idx="9">
                  <c:v>55.50000000000001</c:v>
                </c:pt>
                <c:pt idx="10">
                  <c:v>56.849999999999994</c:v>
                </c:pt>
                <c:pt idx="11">
                  <c:v>41.010000000000005</c:v>
                </c:pt>
                <c:pt idx="12">
                  <c:v>57.35</c:v>
                </c:pt>
                <c:pt idx="13">
                  <c:v>48.465</c:v>
                </c:pt>
                <c:pt idx="14">
                  <c:v>55.70000000000001</c:v>
                </c:pt>
                <c:pt idx="15">
                  <c:v>58.5</c:v>
                </c:pt>
                <c:pt idx="16">
                  <c:v>42.235</c:v>
                </c:pt>
                <c:pt idx="17">
                  <c:v>48.64</c:v>
                </c:pt>
                <c:pt idx="18">
                  <c:v>54.900000000000006</c:v>
                </c:pt>
                <c:pt idx="19">
                  <c:v>58.050000000000004</c:v>
                </c:pt>
                <c:pt idx="20">
                  <c:v>60.45</c:v>
                </c:pt>
                <c:pt idx="21">
                  <c:v>62.84999999999999</c:v>
                </c:pt>
                <c:pt idx="22">
                  <c:v>53.949999999999996</c:v>
                </c:pt>
                <c:pt idx="23">
                  <c:v>47.635</c:v>
                </c:pt>
                <c:pt idx="24">
                  <c:v>56.95</c:v>
                </c:pt>
                <c:pt idx="25">
                  <c:v>40.415</c:v>
                </c:pt>
                <c:pt idx="26">
                  <c:v>39.315000000000005</c:v>
                </c:pt>
                <c:pt idx="27">
                  <c:v>36.695</c:v>
                </c:pt>
                <c:pt idx="28">
                  <c:v>46.214999999999996</c:v>
                </c:pt>
                <c:pt idx="29">
                  <c:v>61.199999999999996</c:v>
                </c:pt>
                <c:pt idx="30">
                  <c:v>62.65</c:v>
                </c:pt>
                <c:pt idx="31">
                  <c:v>41.595</c:v>
                </c:pt>
                <c:pt idx="32">
                  <c:v>44.37</c:v>
                </c:pt>
                <c:pt idx="33">
                  <c:v>54.50000000000001</c:v>
                </c:pt>
                <c:pt idx="34">
                  <c:v>59.45</c:v>
                </c:pt>
                <c:pt idx="35">
                  <c:v>50.3</c:v>
                </c:pt>
                <c:pt idx="36">
                  <c:v>53.00000000000001</c:v>
                </c:pt>
                <c:pt idx="37">
                  <c:v>62.5</c:v>
                </c:pt>
                <c:pt idx="38">
                  <c:v>45.5</c:v>
                </c:pt>
                <c:pt idx="39">
                  <c:v>31.2</c:v>
                </c:pt>
                <c:pt idx="40">
                  <c:v>53.00000000000001</c:v>
                </c:pt>
                <c:pt idx="41">
                  <c:v>48.5</c:v>
                </c:pt>
                <c:pt idx="42">
                  <c:v>43.8</c:v>
                </c:pt>
                <c:pt idx="43">
                  <c:v>52.00000000000001</c:v>
                </c:pt>
                <c:pt idx="44">
                  <c:v>56.00000000000001</c:v>
                </c:pt>
                <c:pt idx="45">
                  <c:v>58.199999999999996</c:v>
                </c:pt>
                <c:pt idx="46">
                  <c:v>47.035000000000004</c:v>
                </c:pt>
                <c:pt idx="47">
                  <c:v>57.25</c:v>
                </c:pt>
                <c:pt idx="48">
                  <c:v>56.99999999999999</c:v>
                </c:pt>
                <c:pt idx="49">
                  <c:v>62.199999999999996</c:v>
                </c:pt>
                <c:pt idx="50">
                  <c:v>77.7</c:v>
                </c:pt>
                <c:pt idx="51">
                  <c:v>48.955</c:v>
                </c:pt>
                <c:pt idx="52">
                  <c:v>48.205</c:v>
                </c:pt>
                <c:pt idx="53">
                  <c:v>36</c:v>
                </c:pt>
                <c:pt idx="54">
                  <c:v>35.75</c:v>
                </c:pt>
                <c:pt idx="55">
                  <c:v>55.050000000000004</c:v>
                </c:pt>
                <c:pt idx="56">
                  <c:v>41.120000000000005</c:v>
                </c:pt>
                <c:pt idx="57">
                  <c:v>43</c:v>
                </c:pt>
                <c:pt idx="58">
                  <c:v>56.39999999999999</c:v>
                </c:pt>
                <c:pt idx="59">
                  <c:v>65.60000000000001</c:v>
                </c:pt>
                <c:pt idx="60">
                  <c:v>87.15</c:v>
                </c:pt>
                <c:pt idx="61">
                  <c:v>77</c:v>
                </c:pt>
                <c:pt idx="62">
                  <c:v>77.80000000000001</c:v>
                </c:pt>
                <c:pt idx="63">
                  <c:v>50.8</c:v>
                </c:pt>
                <c:pt idx="64">
                  <c:v>43.385</c:v>
                </c:pt>
                <c:pt idx="65">
                  <c:v>52.25</c:v>
                </c:pt>
                <c:pt idx="66">
                  <c:v>52.50000000000001</c:v>
                </c:pt>
                <c:pt idx="67">
                  <c:v>51.4</c:v>
                </c:pt>
                <c:pt idx="68">
                  <c:v>58.5</c:v>
                </c:pt>
                <c:pt idx="69">
                  <c:v>65</c:v>
                </c:pt>
                <c:pt idx="70">
                  <c:v>66.9</c:v>
                </c:pt>
                <c:pt idx="71">
                  <c:v>68.99999999999999</c:v>
                </c:pt>
                <c:pt idx="72">
                  <c:v>60.8</c:v>
                </c:pt>
                <c:pt idx="73">
                  <c:v>51.05</c:v>
                </c:pt>
                <c:pt idx="74">
                  <c:v>38.96</c:v>
                </c:pt>
                <c:pt idx="75">
                  <c:v>58.65</c:v>
                </c:pt>
                <c:pt idx="76">
                  <c:v>44.155</c:v>
                </c:pt>
                <c:pt idx="77">
                  <c:v>63.75</c:v>
                </c:pt>
                <c:pt idx="78">
                  <c:v>54.849999999999994</c:v>
                </c:pt>
                <c:pt idx="79">
                  <c:v>48.55</c:v>
                </c:pt>
                <c:pt idx="80">
                  <c:v>36.19</c:v>
                </c:pt>
                <c:pt idx="81">
                  <c:v>39.18</c:v>
                </c:pt>
                <c:pt idx="82">
                  <c:v>47.160000000000004</c:v>
                </c:pt>
                <c:pt idx="83">
                  <c:v>56.050000000000004</c:v>
                </c:pt>
                <c:pt idx="84">
                  <c:v>60.5</c:v>
                </c:pt>
                <c:pt idx="85">
                  <c:v>60</c:v>
                </c:pt>
                <c:pt idx="86">
                  <c:v>71.5</c:v>
                </c:pt>
                <c:pt idx="87">
                  <c:v>52.8</c:v>
                </c:pt>
                <c:pt idx="88">
                  <c:v>67.15</c:v>
                </c:pt>
                <c:pt idx="89">
                  <c:v>56.49999999999999</c:v>
                </c:pt>
                <c:pt idx="90">
                  <c:v>51.949999999999996</c:v>
                </c:pt>
                <c:pt idx="91">
                  <c:v>30.375000000000004</c:v>
                </c:pt>
                <c:pt idx="92">
                  <c:v>42.120000000000005</c:v>
                </c:pt>
                <c:pt idx="93">
                  <c:v>67.95</c:v>
                </c:pt>
                <c:pt idx="94">
                  <c:v>42.57</c:v>
                </c:pt>
                <c:pt idx="95">
                  <c:v>37.21</c:v>
                </c:pt>
                <c:pt idx="96">
                  <c:v>47.815000000000005</c:v>
                </c:pt>
                <c:pt idx="97">
                  <c:v>45.97</c:v>
                </c:pt>
              </c:numCache>
            </c:numRef>
          </c:val>
          <c:smooth val="0"/>
        </c:ser>
        <c:marker val="1"/>
        <c:axId val="50891981"/>
        <c:axId val="55374646"/>
      </c:lineChart>
      <c:dateAx>
        <c:axId val="5089198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74646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5374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1981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pH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8575"/>
          <c:w val="0.926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data'!$S$8:$S$105</c:f>
              <c:numCache>
                <c:ptCount val="98"/>
                <c:pt idx="0">
                  <c:v>5.85</c:v>
                </c:pt>
                <c:pt idx="1">
                  <c:v>6.65</c:v>
                </c:pt>
                <c:pt idx="2">
                  <c:v>6.25</c:v>
                </c:pt>
                <c:pt idx="3">
                  <c:v>6.31</c:v>
                </c:pt>
                <c:pt idx="4">
                  <c:v>6.59</c:v>
                </c:pt>
                <c:pt idx="5">
                  <c:v>5.95</c:v>
                </c:pt>
                <c:pt idx="6">
                  <c:v>5.71</c:v>
                </c:pt>
                <c:pt idx="7">
                  <c:v>6.46</c:v>
                </c:pt>
                <c:pt idx="8">
                  <c:v>6.02</c:v>
                </c:pt>
                <c:pt idx="9">
                  <c:v>6.52</c:v>
                </c:pt>
                <c:pt idx="10">
                  <c:v>6.46</c:v>
                </c:pt>
                <c:pt idx="11">
                  <c:v>6.26</c:v>
                </c:pt>
                <c:pt idx="12">
                  <c:v>6.4</c:v>
                </c:pt>
                <c:pt idx="13">
                  <c:v>6.44</c:v>
                </c:pt>
                <c:pt idx="14">
                  <c:v>6.64</c:v>
                </c:pt>
                <c:pt idx="15">
                  <c:v>6.74</c:v>
                </c:pt>
                <c:pt idx="16">
                  <c:v>5.95</c:v>
                </c:pt>
                <c:pt idx="17">
                  <c:v>6.17</c:v>
                </c:pt>
                <c:pt idx="18">
                  <c:v>6.61</c:v>
                </c:pt>
                <c:pt idx="19">
                  <c:v>6.69</c:v>
                </c:pt>
                <c:pt idx="20">
                  <c:v>6.7</c:v>
                </c:pt>
                <c:pt idx="21">
                  <c:v>6.77</c:v>
                </c:pt>
                <c:pt idx="22">
                  <c:v>6.61</c:v>
                </c:pt>
                <c:pt idx="23">
                  <c:v>6.61</c:v>
                </c:pt>
                <c:pt idx="24">
                  <c:v>6.67</c:v>
                </c:pt>
                <c:pt idx="25">
                  <c:v>6.51</c:v>
                </c:pt>
                <c:pt idx="26">
                  <c:v>6.3</c:v>
                </c:pt>
                <c:pt idx="27">
                  <c:v>6.32</c:v>
                </c:pt>
                <c:pt idx="28">
                  <c:v>6.45</c:v>
                </c:pt>
                <c:pt idx="29">
                  <c:v>6.87</c:v>
                </c:pt>
                <c:pt idx="30">
                  <c:v>6.8</c:v>
                </c:pt>
                <c:pt idx="31">
                  <c:v>6.37</c:v>
                </c:pt>
                <c:pt idx="32">
                  <c:v>6.66</c:v>
                </c:pt>
                <c:pt idx="33">
                  <c:v>6.68</c:v>
                </c:pt>
                <c:pt idx="34">
                  <c:v>6.83</c:v>
                </c:pt>
                <c:pt idx="35">
                  <c:v>6.57</c:v>
                </c:pt>
                <c:pt idx="36">
                  <c:v>6.91</c:v>
                </c:pt>
                <c:pt idx="37">
                  <c:v>6.36</c:v>
                </c:pt>
                <c:pt idx="38">
                  <c:v>6.58</c:v>
                </c:pt>
                <c:pt idx="39">
                  <c:v>5.72</c:v>
                </c:pt>
                <c:pt idx="40">
                  <c:v>6.66</c:v>
                </c:pt>
                <c:pt idx="41">
                  <c:v>6.39</c:v>
                </c:pt>
                <c:pt idx="42">
                  <c:v>6.51</c:v>
                </c:pt>
                <c:pt idx="43">
                  <c:v>6.76</c:v>
                </c:pt>
                <c:pt idx="44">
                  <c:v>6.93</c:v>
                </c:pt>
                <c:pt idx="45">
                  <c:v>6.7</c:v>
                </c:pt>
                <c:pt idx="46">
                  <c:v>6.77</c:v>
                </c:pt>
                <c:pt idx="47">
                  <c:v>6.59</c:v>
                </c:pt>
                <c:pt idx="48">
                  <c:v>6.81</c:v>
                </c:pt>
                <c:pt idx="49">
                  <c:v>6.86</c:v>
                </c:pt>
                <c:pt idx="50">
                  <c:v>6.73</c:v>
                </c:pt>
                <c:pt idx="51">
                  <c:v>6.33</c:v>
                </c:pt>
                <c:pt idx="52">
                  <c:v>6.6</c:v>
                </c:pt>
                <c:pt idx="53">
                  <c:v>6.4</c:v>
                </c:pt>
                <c:pt idx="54">
                  <c:v>6.29</c:v>
                </c:pt>
                <c:pt idx="55">
                  <c:v>6.77</c:v>
                </c:pt>
                <c:pt idx="56">
                  <c:v>6.37</c:v>
                </c:pt>
                <c:pt idx="57">
                  <c:v>6.59</c:v>
                </c:pt>
                <c:pt idx="58">
                  <c:v>6.93</c:v>
                </c:pt>
                <c:pt idx="59">
                  <c:v>6.85</c:v>
                </c:pt>
                <c:pt idx="60">
                  <c:v>6.74</c:v>
                </c:pt>
                <c:pt idx="61">
                  <c:v>6.45</c:v>
                </c:pt>
                <c:pt idx="62">
                  <c:v>6.7</c:v>
                </c:pt>
                <c:pt idx="63">
                  <c:v>6.52</c:v>
                </c:pt>
                <c:pt idx="64">
                  <c:v>5.872</c:v>
                </c:pt>
                <c:pt idx="65">
                  <c:v>6.501</c:v>
                </c:pt>
                <c:pt idx="66">
                  <c:v>6.596</c:v>
                </c:pt>
                <c:pt idx="67">
                  <c:v>6.015</c:v>
                </c:pt>
                <c:pt idx="68">
                  <c:v>6.521</c:v>
                </c:pt>
                <c:pt idx="69">
                  <c:v>6.804</c:v>
                </c:pt>
                <c:pt idx="70">
                  <c:v>6.912</c:v>
                </c:pt>
                <c:pt idx="71">
                  <c:v>6.841</c:v>
                </c:pt>
                <c:pt idx="72">
                  <c:v>6.914</c:v>
                </c:pt>
                <c:pt idx="73">
                  <c:v>6.631</c:v>
                </c:pt>
                <c:pt idx="74">
                  <c:v>6.07</c:v>
                </c:pt>
                <c:pt idx="75">
                  <c:v>6.831</c:v>
                </c:pt>
                <c:pt idx="76">
                  <c:v>6.48</c:v>
                </c:pt>
                <c:pt idx="77">
                  <c:v>6.801</c:v>
                </c:pt>
                <c:pt idx="78">
                  <c:v>6.585</c:v>
                </c:pt>
                <c:pt idx="79">
                  <c:v>6.571</c:v>
                </c:pt>
                <c:pt idx="80">
                  <c:v>6.248</c:v>
                </c:pt>
                <c:pt idx="81">
                  <c:v>6.261</c:v>
                </c:pt>
                <c:pt idx="82">
                  <c:v>6.647</c:v>
                </c:pt>
                <c:pt idx="83">
                  <c:v>6.651</c:v>
                </c:pt>
                <c:pt idx="84">
                  <c:v>6.865</c:v>
                </c:pt>
                <c:pt idx="85">
                  <c:v>6.13</c:v>
                </c:pt>
                <c:pt idx="86">
                  <c:v>6.794</c:v>
                </c:pt>
                <c:pt idx="87">
                  <c:v>5.519</c:v>
                </c:pt>
                <c:pt idx="88">
                  <c:v>6.719</c:v>
                </c:pt>
                <c:pt idx="89">
                  <c:v>6.601</c:v>
                </c:pt>
                <c:pt idx="90">
                  <c:v>6.703</c:v>
                </c:pt>
                <c:pt idx="91">
                  <c:v>5.274</c:v>
                </c:pt>
                <c:pt idx="92">
                  <c:v>6.446</c:v>
                </c:pt>
                <c:pt idx="93">
                  <c:v>6.666</c:v>
                </c:pt>
                <c:pt idx="94">
                  <c:v>6.351</c:v>
                </c:pt>
                <c:pt idx="95">
                  <c:v>5.626</c:v>
                </c:pt>
                <c:pt idx="96">
                  <c:v>6.418</c:v>
                </c:pt>
                <c:pt idx="97">
                  <c:v>6.297</c:v>
                </c:pt>
              </c:numCache>
            </c:numRef>
          </c:val>
          <c:smooth val="0"/>
        </c:ser>
        <c:marker val="1"/>
        <c:axId val="63583595"/>
        <c:axId val="35381444"/>
      </c:lineChart>
      <c:dateAx>
        <c:axId val="6358359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8144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5381444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8359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1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-P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9"/>
          <c:y val="0.1685"/>
          <c:w val="0.089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997541"/>
        <c:axId val="47324686"/>
      </c:lineChart>
      <c:catAx>
        <c:axId val="4999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24686"/>
        <c:crosses val="autoZero"/>
        <c:auto val="1"/>
        <c:lblOffset val="100"/>
        <c:tickLblSkip val="1"/>
        <c:noMultiLvlLbl val="0"/>
      </c:catAx>
      <c:valAx>
        <c:axId val="47324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7541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-P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955"/>
          <c:w val="0.92225"/>
          <c:h val="0.63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data'!$AK$8:$AK$105</c:f>
              <c:numCache>
                <c:ptCount val="98"/>
                <c:pt idx="0">
                  <c:v>1.229032258064516</c:v>
                </c:pt>
                <c:pt idx="1">
                  <c:v>1.6161290322580646</c:v>
                </c:pt>
                <c:pt idx="2">
                  <c:v>0.8903225806451613</c:v>
                </c:pt>
                <c:pt idx="3">
                  <c:v>0.9387096774193548</c:v>
                </c:pt>
                <c:pt idx="4">
                  <c:v>1.0451612903225806</c:v>
                </c:pt>
                <c:pt idx="5">
                  <c:v>2.6612903225806455</c:v>
                </c:pt>
                <c:pt idx="6">
                  <c:v>0.7258064516129031</c:v>
                </c:pt>
                <c:pt idx="7">
                  <c:v>0.967741935483871</c:v>
                </c:pt>
                <c:pt idx="8">
                  <c:v>3.841935483870968</c:v>
                </c:pt>
                <c:pt idx="9">
                  <c:v>1.161290322580645</c:v>
                </c:pt>
                <c:pt idx="10">
                  <c:v>0.4916129032258064</c:v>
                </c:pt>
                <c:pt idx="11">
                  <c:v>0.486774193548387</c:v>
                </c:pt>
                <c:pt idx="12">
                  <c:v>0.4916129032258064</c:v>
                </c:pt>
                <c:pt idx="13">
                  <c:v>0.4916129032258064</c:v>
                </c:pt>
                <c:pt idx="14">
                  <c:v>0.4916129032258064</c:v>
                </c:pt>
                <c:pt idx="15">
                  <c:v>2.4774193548387093</c:v>
                </c:pt>
                <c:pt idx="16">
                  <c:v>0.49064516129032254</c:v>
                </c:pt>
                <c:pt idx="17">
                  <c:v>0.4896774193548388</c:v>
                </c:pt>
                <c:pt idx="18">
                  <c:v>0.4848387096774194</c:v>
                </c:pt>
                <c:pt idx="19">
                  <c:v>0.4838709677419355</c:v>
                </c:pt>
                <c:pt idx="20">
                  <c:v>0.7451612903225807</c:v>
                </c:pt>
                <c:pt idx="21">
                  <c:v>0.4848387096774194</c:v>
                </c:pt>
                <c:pt idx="22">
                  <c:v>0.4916129032258064</c:v>
                </c:pt>
                <c:pt idx="23">
                  <c:v>0.4838709677419355</c:v>
                </c:pt>
                <c:pt idx="24">
                  <c:v>0.4916129032258064</c:v>
                </c:pt>
                <c:pt idx="25">
                  <c:v>0.4887096774193548</c:v>
                </c:pt>
                <c:pt idx="26">
                  <c:v>0.49258064516129035</c:v>
                </c:pt>
                <c:pt idx="27">
                  <c:v>0.486774193548387</c:v>
                </c:pt>
                <c:pt idx="28">
                  <c:v>0.4896774193548388</c:v>
                </c:pt>
                <c:pt idx="29">
                  <c:v>0.4838709677419355</c:v>
                </c:pt>
                <c:pt idx="30">
                  <c:v>0.4896774193548388</c:v>
                </c:pt>
                <c:pt idx="31">
                  <c:v>0.4838709677419355</c:v>
                </c:pt>
                <c:pt idx="32">
                  <c:v>0.4838709677419355</c:v>
                </c:pt>
                <c:pt idx="33">
                  <c:v>0.4838709677419355</c:v>
                </c:pt>
                <c:pt idx="34">
                  <c:v>0.7741935483870969</c:v>
                </c:pt>
                <c:pt idx="35">
                  <c:v>0.4838709677419355</c:v>
                </c:pt>
                <c:pt idx="36">
                  <c:v>1.161290322580645</c:v>
                </c:pt>
                <c:pt idx="37">
                  <c:v>0.4838709677419355</c:v>
                </c:pt>
                <c:pt idx="38">
                  <c:v>0.4838709677419355</c:v>
                </c:pt>
                <c:pt idx="39">
                  <c:v>0.4838709677419355</c:v>
                </c:pt>
                <c:pt idx="40">
                  <c:v>0.4838709677419355</c:v>
                </c:pt>
                <c:pt idx="41">
                  <c:v>0.4838709677419355</c:v>
                </c:pt>
                <c:pt idx="42">
                  <c:v>0.5806451612903225</c:v>
                </c:pt>
                <c:pt idx="43">
                  <c:v>0.7741935483870969</c:v>
                </c:pt>
                <c:pt idx="44">
                  <c:v>0.4838709677419355</c:v>
                </c:pt>
                <c:pt idx="45">
                  <c:v>0.4838709677419355</c:v>
                </c:pt>
                <c:pt idx="46">
                  <c:v>0.4838709677419355</c:v>
                </c:pt>
                <c:pt idx="47">
                  <c:v>0.4838709677419355</c:v>
                </c:pt>
                <c:pt idx="48">
                  <c:v>0.4838709677419355</c:v>
                </c:pt>
                <c:pt idx="49">
                  <c:v>0.4838709677419355</c:v>
                </c:pt>
                <c:pt idx="50">
                  <c:v>0.4838709677419355</c:v>
                </c:pt>
                <c:pt idx="51">
                  <c:v>0.6774193548387097</c:v>
                </c:pt>
                <c:pt idx="52">
                  <c:v>0.4838709677419355</c:v>
                </c:pt>
                <c:pt idx="53">
                  <c:v>0.4838709677419355</c:v>
                </c:pt>
                <c:pt idx="54">
                  <c:v>0.4838709677419355</c:v>
                </c:pt>
                <c:pt idx="55">
                  <c:v>0.4838709677419355</c:v>
                </c:pt>
                <c:pt idx="56">
                  <c:v>0.4838709677419355</c:v>
                </c:pt>
                <c:pt idx="57">
                  <c:v>0.4838709677419355</c:v>
                </c:pt>
                <c:pt idx="58">
                  <c:v>0.4838709677419355</c:v>
                </c:pt>
                <c:pt idx="59">
                  <c:v>0.4838709677419355</c:v>
                </c:pt>
                <c:pt idx="60">
                  <c:v>0.4838709677419355</c:v>
                </c:pt>
                <c:pt idx="61">
                  <c:v>0.4838709677419355</c:v>
                </c:pt>
                <c:pt idx="62">
                  <c:v>0.4838709677419355</c:v>
                </c:pt>
                <c:pt idx="63">
                  <c:v>0.4838709677419355</c:v>
                </c:pt>
                <c:pt idx="64">
                  <c:v>0.4838709677419355</c:v>
                </c:pt>
                <c:pt idx="65">
                  <c:v>0.4838709677419355</c:v>
                </c:pt>
                <c:pt idx="66">
                  <c:v>0.4838709677419355</c:v>
                </c:pt>
                <c:pt idx="67">
                  <c:v>0.5806451612903225</c:v>
                </c:pt>
                <c:pt idx="68">
                  <c:v>0.4838709677419355</c:v>
                </c:pt>
                <c:pt idx="69">
                  <c:v>0.4838709677419355</c:v>
                </c:pt>
                <c:pt idx="70">
                  <c:v>0.4838709677419355</c:v>
                </c:pt>
                <c:pt idx="71">
                  <c:v>0.4838709677419355</c:v>
                </c:pt>
                <c:pt idx="72">
                  <c:v>0.6774193548387097</c:v>
                </c:pt>
                <c:pt idx="73">
                  <c:v>0.4838709677419355</c:v>
                </c:pt>
                <c:pt idx="74">
                  <c:v>0.49848387096774205</c:v>
                </c:pt>
                <c:pt idx="75">
                  <c:v>0.4838709677419355</c:v>
                </c:pt>
                <c:pt idx="76">
                  <c:v>0.4838709677419355</c:v>
                </c:pt>
                <c:pt idx="77">
                  <c:v>0.4838709677419355</c:v>
                </c:pt>
                <c:pt idx="78">
                  <c:v>0.4838709677419355</c:v>
                </c:pt>
                <c:pt idx="79">
                  <c:v>0.4838709677419355</c:v>
                </c:pt>
                <c:pt idx="80">
                  <c:v>0.4838709677419355</c:v>
                </c:pt>
                <c:pt idx="81">
                  <c:v>0.4838709677419355</c:v>
                </c:pt>
                <c:pt idx="82">
                  <c:v>0.4838709677419355</c:v>
                </c:pt>
                <c:pt idx="83">
                  <c:v>0.4838709677419355</c:v>
                </c:pt>
                <c:pt idx="84">
                  <c:v>0.4838709677419355</c:v>
                </c:pt>
                <c:pt idx="85">
                  <c:v>0.4838709677419355</c:v>
                </c:pt>
                <c:pt idx="86">
                  <c:v>0.4838709677419355</c:v>
                </c:pt>
                <c:pt idx="87">
                  <c:v>0.4838709677419355</c:v>
                </c:pt>
                <c:pt idx="88">
                  <c:v>0.4838709677419355</c:v>
                </c:pt>
                <c:pt idx="89">
                  <c:v>0.5806451612903225</c:v>
                </c:pt>
                <c:pt idx="90">
                  <c:v>0.5806451612903225</c:v>
                </c:pt>
                <c:pt idx="91">
                  <c:v>0.5806451612903225</c:v>
                </c:pt>
                <c:pt idx="92">
                  <c:v>0.6774193548387097</c:v>
                </c:pt>
                <c:pt idx="93">
                  <c:v>0.4838709677419355</c:v>
                </c:pt>
                <c:pt idx="94">
                  <c:v>0.4838709677419355</c:v>
                </c:pt>
                <c:pt idx="95">
                  <c:v>0.5806451612903225</c:v>
                </c:pt>
                <c:pt idx="96">
                  <c:v>0.4838709677419355</c:v>
                </c:pt>
                <c:pt idx="97">
                  <c:v>0.4838709677419355</c:v>
                </c:pt>
              </c:numCache>
            </c:numRef>
          </c:val>
          <c:smooth val="0"/>
        </c:ser>
        <c:marker val="1"/>
        <c:axId val="23268991"/>
        <c:axId val="8094328"/>
      </c:lineChart>
      <c:dateAx>
        <c:axId val="2326899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9432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809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68991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S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125"/>
          <c:w val="0.08975"/>
          <c:h val="0.82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40089"/>
        <c:axId val="51660802"/>
      </c:lineChart>
      <c:catAx>
        <c:axId val="5740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60802"/>
        <c:crosses val="autoZero"/>
        <c:auto val="1"/>
        <c:lblOffset val="100"/>
        <c:tickLblSkip val="1"/>
        <c:noMultiLvlLbl val="0"/>
      </c:catAx>
      <c:valAx>
        <c:axId val="5166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0089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data'!$AT$8:$AT$105</c:f>
              <c:numCache>
                <c:ptCount val="98"/>
                <c:pt idx="0">
                  <c:v>42.418749999999996</c:v>
                </c:pt>
                <c:pt idx="1">
                  <c:v>49.55</c:v>
                </c:pt>
                <c:pt idx="2">
                  <c:v>40.775</c:v>
                </c:pt>
                <c:pt idx="3">
                  <c:v>45.5</c:v>
                </c:pt>
                <c:pt idx="4">
                  <c:v>45.1625</c:v>
                </c:pt>
                <c:pt idx="5">
                  <c:v>36.15</c:v>
                </c:pt>
                <c:pt idx="6">
                  <c:v>40.668749999999996</c:v>
                </c:pt>
                <c:pt idx="7">
                  <c:v>43.018750000000004</c:v>
                </c:pt>
                <c:pt idx="8">
                  <c:v>35.268750000000004</c:v>
                </c:pt>
                <c:pt idx="9">
                  <c:v>48.125</c:v>
                </c:pt>
                <c:pt idx="10">
                  <c:v>47.64375</c:v>
                </c:pt>
                <c:pt idx="11">
                  <c:v>44.68125</c:v>
                </c:pt>
                <c:pt idx="12">
                  <c:v>41.55</c:v>
                </c:pt>
                <c:pt idx="13">
                  <c:v>41.8875</c:v>
                </c:pt>
                <c:pt idx="14">
                  <c:v>41.8</c:v>
                </c:pt>
                <c:pt idx="15">
                  <c:v>46.7125</c:v>
                </c:pt>
                <c:pt idx="16">
                  <c:v>32.58125</c:v>
                </c:pt>
                <c:pt idx="17">
                  <c:v>33</c:v>
                </c:pt>
                <c:pt idx="18">
                  <c:v>44.34375</c:v>
                </c:pt>
                <c:pt idx="19">
                  <c:v>45.512499999999996</c:v>
                </c:pt>
                <c:pt idx="20">
                  <c:v>46.15</c:v>
                </c:pt>
                <c:pt idx="21">
                  <c:v>48.481249999999996</c:v>
                </c:pt>
                <c:pt idx="22">
                  <c:v>45.61875</c:v>
                </c:pt>
                <c:pt idx="23">
                  <c:v>45.59375</c:v>
                </c:pt>
                <c:pt idx="24">
                  <c:v>45.087500000000006</c:v>
                </c:pt>
                <c:pt idx="25">
                  <c:v>44.5</c:v>
                </c:pt>
                <c:pt idx="26">
                  <c:v>40.5125</c:v>
                </c:pt>
                <c:pt idx="27">
                  <c:v>43.34375</c:v>
                </c:pt>
                <c:pt idx="28">
                  <c:v>46.71875</c:v>
                </c:pt>
                <c:pt idx="29">
                  <c:v>50.75</c:v>
                </c:pt>
                <c:pt idx="30">
                  <c:v>47.45625</c:v>
                </c:pt>
                <c:pt idx="31">
                  <c:v>48.4625</c:v>
                </c:pt>
                <c:pt idx="32">
                  <c:v>42.0625</c:v>
                </c:pt>
                <c:pt idx="33">
                  <c:v>39.237500000000004</c:v>
                </c:pt>
                <c:pt idx="34">
                  <c:v>46.44375</c:v>
                </c:pt>
                <c:pt idx="35">
                  <c:v>31.343749999999996</c:v>
                </c:pt>
                <c:pt idx="36">
                  <c:v>40</c:v>
                </c:pt>
                <c:pt idx="37">
                  <c:v>40</c:v>
                </c:pt>
                <c:pt idx="38">
                  <c:v>35</c:v>
                </c:pt>
                <c:pt idx="39">
                  <c:v>41.25</c:v>
                </c:pt>
                <c:pt idx="40">
                  <c:v>41.25</c:v>
                </c:pt>
                <c:pt idx="41">
                  <c:v>38.125</c:v>
                </c:pt>
                <c:pt idx="42">
                  <c:v>34.0625</c:v>
                </c:pt>
              </c:numCache>
            </c:numRef>
          </c:val>
          <c:smooth val="0"/>
        </c:ser>
        <c:marker val="1"/>
        <c:axId val="62294035"/>
        <c:axId val="23775404"/>
      </c:lineChart>
      <c:dateAx>
        <c:axId val="6229403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7540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377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9403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Si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95"/>
          <c:w val="0.08975"/>
          <c:h val="0.81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652045"/>
        <c:axId val="46759542"/>
      </c:lineChart>
      <c:catAx>
        <c:axId val="12652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59542"/>
        <c:crosses val="autoZero"/>
        <c:auto val="1"/>
        <c:lblOffset val="100"/>
        <c:tickLblSkip val="1"/>
        <c:noMultiLvlLbl val="0"/>
      </c:catAx>
      <c:valAx>
        <c:axId val="46759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5204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Si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data'!$AH$8:$AH$105</c:f>
              <c:numCache>
                <c:ptCount val="98"/>
                <c:pt idx="0">
                  <c:v>320.7142857142857</c:v>
                </c:pt>
                <c:pt idx="1">
                  <c:v>455.57142857142856</c:v>
                </c:pt>
                <c:pt idx="2">
                  <c:v>348.7142857142857</c:v>
                </c:pt>
                <c:pt idx="3">
                  <c:v>389.7142857142857</c:v>
                </c:pt>
                <c:pt idx="4">
                  <c:v>476.7142857142858</c:v>
                </c:pt>
                <c:pt idx="5">
                  <c:v>306.1428571428571</c:v>
                </c:pt>
                <c:pt idx="6">
                  <c:v>260.7142857142857</c:v>
                </c:pt>
                <c:pt idx="7">
                  <c:v>414.00000000000006</c:v>
                </c:pt>
                <c:pt idx="8">
                  <c:v>310.28571428571433</c:v>
                </c:pt>
                <c:pt idx="9">
                  <c:v>378.57142857142856</c:v>
                </c:pt>
                <c:pt idx="10">
                  <c:v>416.1428571428571</c:v>
                </c:pt>
                <c:pt idx="11">
                  <c:v>357.85714285714283</c:v>
                </c:pt>
                <c:pt idx="12">
                  <c:v>353.00000000000006</c:v>
                </c:pt>
                <c:pt idx="13">
                  <c:v>360.7142857142857</c:v>
                </c:pt>
                <c:pt idx="14">
                  <c:v>399.57142857142856</c:v>
                </c:pt>
                <c:pt idx="15">
                  <c:v>440.2857142857143</c:v>
                </c:pt>
                <c:pt idx="16">
                  <c:v>295.1428571428571</c:v>
                </c:pt>
                <c:pt idx="17">
                  <c:v>293.00000000000006</c:v>
                </c:pt>
                <c:pt idx="18">
                  <c:v>426.7142857142857</c:v>
                </c:pt>
                <c:pt idx="19">
                  <c:v>468.42857142857144</c:v>
                </c:pt>
                <c:pt idx="20">
                  <c:v>489.42857142857144</c:v>
                </c:pt>
                <c:pt idx="21">
                  <c:v>499.57142857142856</c:v>
                </c:pt>
                <c:pt idx="22">
                  <c:v>436.7142857142857</c:v>
                </c:pt>
                <c:pt idx="23">
                  <c:v>400.14285714285717</c:v>
                </c:pt>
                <c:pt idx="24">
                  <c:v>455.1428571428571</c:v>
                </c:pt>
                <c:pt idx="25">
                  <c:v>390.42857142857144</c:v>
                </c:pt>
                <c:pt idx="26">
                  <c:v>375.7142857142857</c:v>
                </c:pt>
                <c:pt idx="27">
                  <c:v>366.7142857142857</c:v>
                </c:pt>
                <c:pt idx="28">
                  <c:v>395.99999999999994</c:v>
                </c:pt>
                <c:pt idx="29">
                  <c:v>538.4285714285714</c:v>
                </c:pt>
                <c:pt idx="30">
                  <c:v>476.8571428571429</c:v>
                </c:pt>
                <c:pt idx="31">
                  <c:v>334.57142857142856</c:v>
                </c:pt>
                <c:pt idx="32">
                  <c:v>355.42857142857144</c:v>
                </c:pt>
                <c:pt idx="33">
                  <c:v>389.2857142857143</c:v>
                </c:pt>
                <c:pt idx="34">
                  <c:v>448.7142857142857</c:v>
                </c:pt>
                <c:pt idx="35">
                  <c:v>389.4285714285714</c:v>
                </c:pt>
                <c:pt idx="36">
                  <c:v>427.14285714285717</c:v>
                </c:pt>
                <c:pt idx="37">
                  <c:v>328.57142857142856</c:v>
                </c:pt>
                <c:pt idx="38">
                  <c:v>361.4285714285714</c:v>
                </c:pt>
                <c:pt idx="39">
                  <c:v>308.5714285714286</c:v>
                </c:pt>
                <c:pt idx="40">
                  <c:v>405.71428571428567</c:v>
                </c:pt>
                <c:pt idx="41">
                  <c:v>345.7142857142857</c:v>
                </c:pt>
                <c:pt idx="42">
                  <c:v>325.57142857142856</c:v>
                </c:pt>
                <c:pt idx="43">
                  <c:v>601.4285714285714</c:v>
                </c:pt>
                <c:pt idx="44">
                  <c:v>715.7142857142857</c:v>
                </c:pt>
                <c:pt idx="45">
                  <c:v>557.7142857142857</c:v>
                </c:pt>
                <c:pt idx="46">
                  <c:v>434.57142857142856</c:v>
                </c:pt>
                <c:pt idx="47">
                  <c:v>389.4285714285714</c:v>
                </c:pt>
                <c:pt idx="48">
                  <c:v>459</c:v>
                </c:pt>
                <c:pt idx="49">
                  <c:v>450</c:v>
                </c:pt>
                <c:pt idx="50">
                  <c:v>494.14285714285717</c:v>
                </c:pt>
                <c:pt idx="51">
                  <c:v>407.42857142857144</c:v>
                </c:pt>
                <c:pt idx="52">
                  <c:v>466.1428571428571</c:v>
                </c:pt>
                <c:pt idx="53">
                  <c:v>357.14285714285717</c:v>
                </c:pt>
                <c:pt idx="54">
                  <c:v>347</c:v>
                </c:pt>
                <c:pt idx="55">
                  <c:v>424.28571428571433</c:v>
                </c:pt>
                <c:pt idx="56">
                  <c:v>335</c:v>
                </c:pt>
                <c:pt idx="57">
                  <c:v>391.42857142857144</c:v>
                </c:pt>
                <c:pt idx="58">
                  <c:v>469.5714285714286</c:v>
                </c:pt>
                <c:pt idx="59">
                  <c:v>451.2857142857142</c:v>
                </c:pt>
                <c:pt idx="60">
                  <c:v>391.42857142857144</c:v>
                </c:pt>
                <c:pt idx="61">
                  <c:v>279.4285714285714</c:v>
                </c:pt>
                <c:pt idx="62">
                  <c:v>306</c:v>
                </c:pt>
                <c:pt idx="63">
                  <c:v>321</c:v>
                </c:pt>
                <c:pt idx="64">
                  <c:v>272.7142857142857</c:v>
                </c:pt>
                <c:pt idx="65">
                  <c:v>426.14285714285717</c:v>
                </c:pt>
                <c:pt idx="66">
                  <c:v>371.28571428571433</c:v>
                </c:pt>
                <c:pt idx="67">
                  <c:v>243.14285714285714</c:v>
                </c:pt>
                <c:pt idx="68">
                  <c:v>344.42857142857144</c:v>
                </c:pt>
                <c:pt idx="69">
                  <c:v>416.7142857142857</c:v>
                </c:pt>
                <c:pt idx="70">
                  <c:v>424.7142857142857</c:v>
                </c:pt>
                <c:pt idx="71">
                  <c:v>424.57142857142856</c:v>
                </c:pt>
                <c:pt idx="72">
                  <c:v>449.85714285714283</c:v>
                </c:pt>
                <c:pt idx="73">
                  <c:v>342.85714285714283</c:v>
                </c:pt>
                <c:pt idx="74">
                  <c:v>245.14285714285714</c:v>
                </c:pt>
                <c:pt idx="75">
                  <c:v>290.57142857142856</c:v>
                </c:pt>
                <c:pt idx="76">
                  <c:v>281</c:v>
                </c:pt>
                <c:pt idx="77">
                  <c:v>298.57142857142856</c:v>
                </c:pt>
                <c:pt idx="78">
                  <c:v>291.7142857142857</c:v>
                </c:pt>
                <c:pt idx="79">
                  <c:v>306.71428571428567</c:v>
                </c:pt>
                <c:pt idx="80">
                  <c:v>251.14285714285717</c:v>
                </c:pt>
                <c:pt idx="81">
                  <c:v>201</c:v>
                </c:pt>
                <c:pt idx="82">
                  <c:v>272.1428571428571</c:v>
                </c:pt>
                <c:pt idx="83">
                  <c:v>306.71428571428567</c:v>
                </c:pt>
                <c:pt idx="84">
                  <c:v>329.2857142857143</c:v>
                </c:pt>
                <c:pt idx="85">
                  <c:v>223.71428571428572</c:v>
                </c:pt>
                <c:pt idx="86">
                  <c:v>372.14285714285717</c:v>
                </c:pt>
                <c:pt idx="87">
                  <c:v>161</c:v>
                </c:pt>
                <c:pt idx="88">
                  <c:v>314.42857142857144</c:v>
                </c:pt>
                <c:pt idx="89">
                  <c:v>225.14285714285714</c:v>
                </c:pt>
                <c:pt idx="90">
                  <c:v>241.2857142857143</c:v>
                </c:pt>
                <c:pt idx="91">
                  <c:v>144</c:v>
                </c:pt>
                <c:pt idx="92">
                  <c:v>223.85714285714283</c:v>
                </c:pt>
                <c:pt idx="93">
                  <c:v>426.14285714285717</c:v>
                </c:pt>
                <c:pt idx="94">
                  <c:v>249.42857142857142</c:v>
                </c:pt>
                <c:pt idx="95">
                  <c:v>200.14285714285714</c:v>
                </c:pt>
                <c:pt idx="96">
                  <c:v>271.85714285714283</c:v>
                </c:pt>
                <c:pt idx="97">
                  <c:v>194.57142857142858</c:v>
                </c:pt>
              </c:numCache>
            </c:numRef>
          </c:val>
          <c:smooth val="0"/>
        </c:ser>
        <c:marker val="1"/>
        <c:axId val="18182695"/>
        <c:axId val="29426528"/>
      </c:lineChart>
      <c:dateAx>
        <c:axId val="1818269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652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9426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8269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-S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685"/>
          <c:w val="0.089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512161"/>
        <c:axId val="34738538"/>
      </c:lineChart>
      <c:catAx>
        <c:axId val="6351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8538"/>
        <c:crosses val="autoZero"/>
        <c:auto val="1"/>
        <c:lblOffset val="100"/>
        <c:tickLblSkip val="1"/>
        <c:noMultiLvlLbl val="0"/>
      </c:catAx>
      <c:valAx>
        <c:axId val="34738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12161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955"/>
          <c:w val="0.92225"/>
          <c:h val="0.63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data'!$AP$8:$AP$105</c:f>
              <c:numCache>
                <c:ptCount val="98"/>
                <c:pt idx="0">
                  <c:v>39.7875</c:v>
                </c:pt>
                <c:pt idx="1">
                  <c:v>43.93125</c:v>
                </c:pt>
                <c:pt idx="2">
                  <c:v>35.75625</c:v>
                </c:pt>
                <c:pt idx="3">
                  <c:v>40.34375</c:v>
                </c:pt>
                <c:pt idx="4">
                  <c:v>45.5375</c:v>
                </c:pt>
                <c:pt idx="5">
                  <c:v>38.1125</c:v>
                </c:pt>
                <c:pt idx="6">
                  <c:v>34.99375</c:v>
                </c:pt>
                <c:pt idx="7">
                  <c:v>43.36875</c:v>
                </c:pt>
                <c:pt idx="8">
                  <c:v>35.4125</c:v>
                </c:pt>
                <c:pt idx="9">
                  <c:v>44.6875</c:v>
                </c:pt>
                <c:pt idx="10">
                  <c:v>44.131249999999994</c:v>
                </c:pt>
                <c:pt idx="11">
                  <c:v>42.2375</c:v>
                </c:pt>
                <c:pt idx="12">
                  <c:v>36.2</c:v>
                </c:pt>
                <c:pt idx="13">
                  <c:v>38.73125</c:v>
                </c:pt>
                <c:pt idx="14">
                  <c:v>38.05625</c:v>
                </c:pt>
                <c:pt idx="15">
                  <c:v>42.9125</c:v>
                </c:pt>
                <c:pt idx="16">
                  <c:v>27.125</c:v>
                </c:pt>
                <c:pt idx="17">
                  <c:v>26.625</c:v>
                </c:pt>
                <c:pt idx="18">
                  <c:v>41.275</c:v>
                </c:pt>
                <c:pt idx="19">
                  <c:v>40.5125</c:v>
                </c:pt>
                <c:pt idx="20">
                  <c:v>43.05</c:v>
                </c:pt>
                <c:pt idx="21">
                  <c:v>42.3125</c:v>
                </c:pt>
                <c:pt idx="22">
                  <c:v>43.2</c:v>
                </c:pt>
                <c:pt idx="23">
                  <c:v>39.675000000000004</c:v>
                </c:pt>
                <c:pt idx="24">
                  <c:v>43.15</c:v>
                </c:pt>
                <c:pt idx="25">
                  <c:v>39.9375</c:v>
                </c:pt>
                <c:pt idx="26">
                  <c:v>36.206250000000004</c:v>
                </c:pt>
                <c:pt idx="27">
                  <c:v>38.6</c:v>
                </c:pt>
                <c:pt idx="28">
                  <c:v>41.9</c:v>
                </c:pt>
                <c:pt idx="29">
                  <c:v>46.65625</c:v>
                </c:pt>
                <c:pt idx="30">
                  <c:v>46.96875</c:v>
                </c:pt>
                <c:pt idx="31">
                  <c:v>38.574999999999996</c:v>
                </c:pt>
                <c:pt idx="32">
                  <c:v>39.275</c:v>
                </c:pt>
                <c:pt idx="33">
                  <c:v>39.25</c:v>
                </c:pt>
                <c:pt idx="34">
                  <c:v>42.8875</c:v>
                </c:pt>
                <c:pt idx="35">
                  <c:v>33.998124999999995</c:v>
                </c:pt>
                <c:pt idx="36">
                  <c:v>39.8125</c:v>
                </c:pt>
                <c:pt idx="37">
                  <c:v>34.125</c:v>
                </c:pt>
                <c:pt idx="38">
                  <c:v>37.875</c:v>
                </c:pt>
                <c:pt idx="39">
                  <c:v>27</c:v>
                </c:pt>
                <c:pt idx="40">
                  <c:v>39.3125</c:v>
                </c:pt>
                <c:pt idx="41">
                  <c:v>35.4375</c:v>
                </c:pt>
                <c:pt idx="42">
                  <c:v>36.975</c:v>
                </c:pt>
                <c:pt idx="43">
                  <c:v>42.25</c:v>
                </c:pt>
                <c:pt idx="44">
                  <c:v>41.5</c:v>
                </c:pt>
                <c:pt idx="45">
                  <c:v>38.06875</c:v>
                </c:pt>
                <c:pt idx="46">
                  <c:v>38.16875</c:v>
                </c:pt>
                <c:pt idx="47">
                  <c:v>34.39375</c:v>
                </c:pt>
                <c:pt idx="48">
                  <c:v>37.925</c:v>
                </c:pt>
                <c:pt idx="49">
                  <c:v>36.78425</c:v>
                </c:pt>
                <c:pt idx="50">
                  <c:v>40.885</c:v>
                </c:pt>
                <c:pt idx="51">
                  <c:v>37.762499999999996</c:v>
                </c:pt>
                <c:pt idx="52">
                  <c:v>42.425</c:v>
                </c:pt>
                <c:pt idx="53">
                  <c:v>36.381249999999994</c:v>
                </c:pt>
                <c:pt idx="54">
                  <c:v>32.96875</c:v>
                </c:pt>
                <c:pt idx="55">
                  <c:v>38.46875</c:v>
                </c:pt>
                <c:pt idx="56">
                  <c:v>40.5125</c:v>
                </c:pt>
                <c:pt idx="57">
                  <c:v>37.59375</c:v>
                </c:pt>
                <c:pt idx="58">
                  <c:v>45.525000000000006</c:v>
                </c:pt>
                <c:pt idx="59">
                  <c:v>38.21875</c:v>
                </c:pt>
                <c:pt idx="60">
                  <c:v>37.75</c:v>
                </c:pt>
                <c:pt idx="61">
                  <c:v>32.675000000000004</c:v>
                </c:pt>
                <c:pt idx="62">
                  <c:v>37.337500000000006</c:v>
                </c:pt>
                <c:pt idx="63">
                  <c:v>39</c:v>
                </c:pt>
                <c:pt idx="64">
                  <c:v>29.28125</c:v>
                </c:pt>
                <c:pt idx="65">
                  <c:v>38.25</c:v>
                </c:pt>
                <c:pt idx="66">
                  <c:v>37.55625</c:v>
                </c:pt>
                <c:pt idx="67">
                  <c:v>25.33125</c:v>
                </c:pt>
                <c:pt idx="68">
                  <c:v>33.65625</c:v>
                </c:pt>
                <c:pt idx="69">
                  <c:v>38.31875</c:v>
                </c:pt>
                <c:pt idx="70">
                  <c:v>39.3375</c:v>
                </c:pt>
                <c:pt idx="71">
                  <c:v>37.375</c:v>
                </c:pt>
                <c:pt idx="72">
                  <c:v>38.18125</c:v>
                </c:pt>
                <c:pt idx="73">
                  <c:v>33.2</c:v>
                </c:pt>
                <c:pt idx="74">
                  <c:v>30.700000000000003</c:v>
                </c:pt>
                <c:pt idx="75">
                  <c:v>38.68125</c:v>
                </c:pt>
                <c:pt idx="76">
                  <c:v>31.55</c:v>
                </c:pt>
                <c:pt idx="77">
                  <c:v>38.699999999999996</c:v>
                </c:pt>
                <c:pt idx="78">
                  <c:v>38.4625</c:v>
                </c:pt>
                <c:pt idx="79">
                  <c:v>40.5125</c:v>
                </c:pt>
                <c:pt idx="80">
                  <c:v>34.75</c:v>
                </c:pt>
                <c:pt idx="81">
                  <c:v>30.974999999999998</c:v>
                </c:pt>
                <c:pt idx="82">
                  <c:v>34.606249999999996</c:v>
                </c:pt>
                <c:pt idx="83">
                  <c:v>39.30625</c:v>
                </c:pt>
                <c:pt idx="84">
                  <c:v>40.5625</c:v>
                </c:pt>
                <c:pt idx="85">
                  <c:v>24.362499999999997</c:v>
                </c:pt>
                <c:pt idx="86">
                  <c:v>39.25</c:v>
                </c:pt>
                <c:pt idx="87">
                  <c:v>21.99375</c:v>
                </c:pt>
                <c:pt idx="88">
                  <c:v>38.31875</c:v>
                </c:pt>
                <c:pt idx="89">
                  <c:v>38.90625</c:v>
                </c:pt>
                <c:pt idx="90">
                  <c:v>38.8375</c:v>
                </c:pt>
                <c:pt idx="91">
                  <c:v>26.39375</c:v>
                </c:pt>
                <c:pt idx="92">
                  <c:v>36.0125</c:v>
                </c:pt>
                <c:pt idx="93">
                  <c:v>39.03125</c:v>
                </c:pt>
                <c:pt idx="94">
                  <c:v>30.89375</c:v>
                </c:pt>
                <c:pt idx="95">
                  <c:v>33.08125</c:v>
                </c:pt>
                <c:pt idx="96">
                  <c:v>38.20625</c:v>
                </c:pt>
                <c:pt idx="97">
                  <c:v>33.75</c:v>
                </c:pt>
              </c:numCache>
            </c:numRef>
          </c:val>
          <c:smooth val="0"/>
        </c:ser>
        <c:marker val="1"/>
        <c:axId val="44211387"/>
        <c:axId val="62358164"/>
      </c:lineChart>
      <c:dateAx>
        <c:axId val="44211387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816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2358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1387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Total Anions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208"/>
          <c:w val="0.08975"/>
          <c:h val="0.76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352565"/>
        <c:axId val="17846494"/>
      </c:lineChart>
      <c:catAx>
        <c:axId val="24352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46494"/>
        <c:crosses val="autoZero"/>
        <c:auto val="1"/>
        <c:lblOffset val="100"/>
        <c:tickLblSkip val="1"/>
        <c:noMultiLvlLbl val="0"/>
      </c:catAx>
      <c:valAx>
        <c:axId val="17846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5256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Cation:Anion ratio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8625"/>
          <c:w val="0.926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data'!$BQ$8:$BQ$105</c:f>
              <c:numCache>
                <c:ptCount val="98"/>
                <c:pt idx="0">
                  <c:v>1.2473998885478108</c:v>
                </c:pt>
                <c:pt idx="1">
                  <c:v>1.4193932553177646</c:v>
                </c:pt>
                <c:pt idx="2">
                  <c:v>1.6438958042013168</c:v>
                </c:pt>
                <c:pt idx="3">
                  <c:v>1.4910584151200195</c:v>
                </c:pt>
                <c:pt idx="4">
                  <c:v>1.4612558468052834</c:v>
                </c:pt>
                <c:pt idx="5">
                  <c:v>1.0546680074900738</c:v>
                </c:pt>
                <c:pt idx="6">
                  <c:v>1.2286409994070882</c:v>
                </c:pt>
                <c:pt idx="7">
                  <c:v>1.2778774164839295</c:v>
                </c:pt>
                <c:pt idx="8">
                  <c:v>1.1777947312589931</c:v>
                </c:pt>
                <c:pt idx="9">
                  <c:v>1.3027391989111567</c:v>
                </c:pt>
                <c:pt idx="10">
                  <c:v>1.257623201714632</c:v>
                </c:pt>
                <c:pt idx="11">
                  <c:v>1.190683862175652</c:v>
                </c:pt>
                <c:pt idx="12">
                  <c:v>1.3579890484998856</c:v>
                </c:pt>
                <c:pt idx="13">
                  <c:v>1.2769631370431989</c:v>
                </c:pt>
                <c:pt idx="14">
                  <c:v>1.4040705696385372</c:v>
                </c:pt>
                <c:pt idx="15">
                  <c:v>1.4461846226926134</c:v>
                </c:pt>
                <c:pt idx="16">
                  <c:v>1.3162454728256596</c:v>
                </c:pt>
                <c:pt idx="17">
                  <c:v>1.5067685680665552</c:v>
                </c:pt>
                <c:pt idx="18">
                  <c:v>1.3829709389559048</c:v>
                </c:pt>
                <c:pt idx="19">
                  <c:v>1.5044547720530692</c:v>
                </c:pt>
                <c:pt idx="20">
                  <c:v>1.4634462526717589</c:v>
                </c:pt>
                <c:pt idx="21">
                  <c:v>1.5232211256125794</c:v>
                </c:pt>
                <c:pt idx="22">
                  <c:v>1.3873351809085335</c:v>
                </c:pt>
                <c:pt idx="23">
                  <c:v>1.3926950904250313</c:v>
                </c:pt>
                <c:pt idx="24">
                  <c:v>1.3970654033685843</c:v>
                </c:pt>
                <c:pt idx="25">
                  <c:v>1.2817179864665178</c:v>
                </c:pt>
                <c:pt idx="26">
                  <c:v>1.3323314926824246</c:v>
                </c:pt>
                <c:pt idx="27">
                  <c:v>1.0569464495888097</c:v>
                </c:pt>
                <c:pt idx="28">
                  <c:v>1.2156494804535916</c:v>
                </c:pt>
                <c:pt idx="29">
                  <c:v>1.3830312756799192</c:v>
                </c:pt>
                <c:pt idx="30">
                  <c:v>1.4532234277343408</c:v>
                </c:pt>
                <c:pt idx="31">
                  <c:v>1.2813683458752991</c:v>
                </c:pt>
                <c:pt idx="32">
                  <c:v>1.370258769328092</c:v>
                </c:pt>
                <c:pt idx="33">
                  <c:v>1.6018223007900239</c:v>
                </c:pt>
                <c:pt idx="34">
                  <c:v>1.4586727088727969</c:v>
                </c:pt>
                <c:pt idx="35">
                  <c:v>1.334261108706674</c:v>
                </c:pt>
                <c:pt idx="36">
                  <c:v>1.4393896619869706</c:v>
                </c:pt>
                <c:pt idx="37">
                  <c:v>1.481096687221811</c:v>
                </c:pt>
                <c:pt idx="38">
                  <c:v>1.3892443872810907</c:v>
                </c:pt>
                <c:pt idx="39">
                  <c:v>1.7702637499096832</c:v>
                </c:pt>
                <c:pt idx="40">
                  <c:v>1.3424411205832796</c:v>
                </c:pt>
                <c:pt idx="41">
                  <c:v>1.3850559274778347</c:v>
                </c:pt>
                <c:pt idx="42">
                  <c:v>1.4896749809327965</c:v>
                </c:pt>
                <c:pt idx="43">
                  <c:v>1.4464829773155832</c:v>
                </c:pt>
                <c:pt idx="44">
                  <c:v>2.1287686464473285</c:v>
                </c:pt>
                <c:pt idx="45">
                  <c:v>1.742637543850308</c:v>
                </c:pt>
                <c:pt idx="46">
                  <c:v>1.5815591470108792</c:v>
                </c:pt>
                <c:pt idx="47">
                  <c:v>1.7430207357744985</c:v>
                </c:pt>
                <c:pt idx="48">
                  <c:v>1.7462087563735078</c:v>
                </c:pt>
                <c:pt idx="49">
                  <c:v>1.6366293973795454</c:v>
                </c:pt>
                <c:pt idx="50">
                  <c:v>1.8317933159761068</c:v>
                </c:pt>
                <c:pt idx="51">
                  <c:v>1.5395581654057175</c:v>
                </c:pt>
                <c:pt idx="52">
                  <c:v>1.3146374216893215</c:v>
                </c:pt>
                <c:pt idx="53">
                  <c:v>1.153056074555953</c:v>
                </c:pt>
                <c:pt idx="54">
                  <c:v>1.2921422946676462</c:v>
                </c:pt>
                <c:pt idx="55">
                  <c:v>1.4114973733188971</c:v>
                </c:pt>
                <c:pt idx="56">
                  <c:v>0.9964254659640329</c:v>
                </c:pt>
                <c:pt idx="57">
                  <c:v>1.2479330168693001</c:v>
                </c:pt>
                <c:pt idx="58">
                  <c:v>1.4443993512145787</c:v>
                </c:pt>
                <c:pt idx="59">
                  <c:v>1.6081695781400793</c:v>
                </c:pt>
                <c:pt idx="60">
                  <c:v>1.9765243761839244</c:v>
                </c:pt>
                <c:pt idx="61">
                  <c:v>1.9918496161636725</c:v>
                </c:pt>
                <c:pt idx="62">
                  <c:v>1.7523734360956447</c:v>
                </c:pt>
                <c:pt idx="63">
                  <c:v>1.2743350857164322</c:v>
                </c:pt>
                <c:pt idx="64">
                  <c:v>1.3006097204825922</c:v>
                </c:pt>
                <c:pt idx="65">
                  <c:v>1.4003814603843416</c:v>
                </c:pt>
                <c:pt idx="66">
                  <c:v>1.5058900072045902</c:v>
                </c:pt>
                <c:pt idx="67">
                  <c:v>1.4649695405996377</c:v>
                </c:pt>
                <c:pt idx="68">
                  <c:v>1.7316678530910103</c:v>
                </c:pt>
                <c:pt idx="69">
                  <c:v>1.7570917941089186</c:v>
                </c:pt>
                <c:pt idx="70">
                  <c:v>1.7504858942184398</c:v>
                </c:pt>
                <c:pt idx="71">
                  <c:v>1.8506843189282398</c:v>
                </c:pt>
                <c:pt idx="72">
                  <c:v>1.6317822369808193</c:v>
                </c:pt>
                <c:pt idx="73">
                  <c:v>1.5225032273078694</c:v>
                </c:pt>
                <c:pt idx="74">
                  <c:v>1.5482597617071876</c:v>
                </c:pt>
                <c:pt idx="75">
                  <c:v>1.5806594357717219</c:v>
                </c:pt>
                <c:pt idx="76">
                  <c:v>1.4759973501636112</c:v>
                </c:pt>
                <c:pt idx="77">
                  <c:v>1.7494402798688826</c:v>
                </c:pt>
                <c:pt idx="78">
                  <c:v>1.5990127913330119</c:v>
                </c:pt>
                <c:pt idx="79">
                  <c:v>1.5968375254692562</c:v>
                </c:pt>
                <c:pt idx="80">
                  <c:v>1.493311385478666</c:v>
                </c:pt>
                <c:pt idx="81">
                  <c:v>1.641271352945206</c:v>
                </c:pt>
                <c:pt idx="82">
                  <c:v>1.585582878133186</c:v>
                </c:pt>
                <c:pt idx="83">
                  <c:v>1.6318645711120592</c:v>
                </c:pt>
                <c:pt idx="84">
                  <c:v>1.6084992635265392</c:v>
                </c:pt>
                <c:pt idx="85">
                  <c:v>1.8696237951749526</c:v>
                </c:pt>
                <c:pt idx="86">
                  <c:v>1.983181647498594</c:v>
                </c:pt>
                <c:pt idx="87">
                  <c:v>2.506119240959618</c:v>
                </c:pt>
                <c:pt idx="88">
                  <c:v>2.2621941562896732</c:v>
                </c:pt>
                <c:pt idx="89">
                  <c:v>2.102422060752034</c:v>
                </c:pt>
                <c:pt idx="90">
                  <c:v>1.5361139322828217</c:v>
                </c:pt>
                <c:pt idx="91">
                  <c:v>1.2886696087969067</c:v>
                </c:pt>
                <c:pt idx="92">
                  <c:v>1.4748949556783673</c:v>
                </c:pt>
                <c:pt idx="93">
                  <c:v>1.983756906309273</c:v>
                </c:pt>
                <c:pt idx="94">
                  <c:v>1.5619288039804915</c:v>
                </c:pt>
                <c:pt idx="95">
                  <c:v>1.2593957705800782</c:v>
                </c:pt>
                <c:pt idx="96">
                  <c:v>1.3866159566666973</c:v>
                </c:pt>
                <c:pt idx="97">
                  <c:v>1.4450666863128852</c:v>
                </c:pt>
              </c:numCache>
            </c:numRef>
          </c:val>
          <c:smooth val="0"/>
        </c:ser>
        <c:marker val="1"/>
        <c:axId val="28609767"/>
        <c:axId val="56161312"/>
      </c:lineChart>
      <c:dateAx>
        <c:axId val="28609767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131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6161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Cation:Anion ratio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9767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Total Anions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data'!$BP$8:$BP$105</c:f>
              <c:numCache>
                <c:ptCount val="98"/>
                <c:pt idx="0">
                  <c:v>135.85987857142857</c:v>
                </c:pt>
                <c:pt idx="1">
                  <c:v>149.29482142857142</c:v>
                </c:pt>
                <c:pt idx="2">
                  <c:v>134.93053571428572</c:v>
                </c:pt>
                <c:pt idx="3">
                  <c:v>144.33232142857145</c:v>
                </c:pt>
                <c:pt idx="4">
                  <c:v>157.8425</c:v>
                </c:pt>
                <c:pt idx="5">
                  <c:v>171.56964285714284</c:v>
                </c:pt>
                <c:pt idx="6">
                  <c:v>132.27517857142857</c:v>
                </c:pt>
                <c:pt idx="7">
                  <c:v>177.18732142857144</c:v>
                </c:pt>
                <c:pt idx="8">
                  <c:v>213.17964285714285</c:v>
                </c:pt>
                <c:pt idx="9">
                  <c:v>170.1017857142857</c:v>
                </c:pt>
                <c:pt idx="10">
                  <c:v>201.63660714285714</c:v>
                </c:pt>
                <c:pt idx="11">
                  <c:v>172.33969285714286</c:v>
                </c:pt>
                <c:pt idx="12">
                  <c:v>166.53182857142855</c:v>
                </c:pt>
                <c:pt idx="13">
                  <c:v>175.66267857142856</c:v>
                </c:pt>
                <c:pt idx="14">
                  <c:v>166.13427142857142</c:v>
                </c:pt>
                <c:pt idx="15">
                  <c:v>167.04107142857143</c:v>
                </c:pt>
                <c:pt idx="16">
                  <c:v>154.83185</c:v>
                </c:pt>
                <c:pt idx="17">
                  <c:v>137.43928571428572</c:v>
                </c:pt>
                <c:pt idx="18">
                  <c:v>164.71785714285716</c:v>
                </c:pt>
                <c:pt idx="19">
                  <c:v>160.53342857142854</c:v>
                </c:pt>
                <c:pt idx="20">
                  <c:v>167.58557142857143</c:v>
                </c:pt>
                <c:pt idx="21">
                  <c:v>166.10417857142855</c:v>
                </c:pt>
                <c:pt idx="22">
                  <c:v>167.95887857142858</c:v>
                </c:pt>
                <c:pt idx="23">
                  <c:v>153.83214285714286</c:v>
                </c:pt>
                <c:pt idx="24">
                  <c:v>169.02142857142857</c:v>
                </c:pt>
                <c:pt idx="25">
                  <c:v>156.93607142857144</c:v>
                </c:pt>
                <c:pt idx="26">
                  <c:v>150.36982142857144</c:v>
                </c:pt>
                <c:pt idx="27">
                  <c:v>189.04928571428573</c:v>
                </c:pt>
                <c:pt idx="28">
                  <c:v>180.76857142857142</c:v>
                </c:pt>
                <c:pt idx="29">
                  <c:v>184.51267857142858</c:v>
                </c:pt>
                <c:pt idx="30">
                  <c:v>184.98660714285714</c:v>
                </c:pt>
                <c:pt idx="31">
                  <c:v>155.905</c:v>
                </c:pt>
                <c:pt idx="32">
                  <c:v>154.23614285714285</c:v>
                </c:pt>
                <c:pt idx="33">
                  <c:v>157.03721428571427</c:v>
                </c:pt>
                <c:pt idx="34">
                  <c:v>161.4758642857143</c:v>
                </c:pt>
                <c:pt idx="35">
                  <c:v>165.29641071428568</c:v>
                </c:pt>
                <c:pt idx="36">
                  <c:v>160.80035714285714</c:v>
                </c:pt>
                <c:pt idx="37">
                  <c:v>141.825</c:v>
                </c:pt>
                <c:pt idx="38">
                  <c:v>151.61785714285716</c:v>
                </c:pt>
                <c:pt idx="39">
                  <c:v>117.04285714285714</c:v>
                </c:pt>
                <c:pt idx="40">
                  <c:v>175.99821428571428</c:v>
                </c:pt>
                <c:pt idx="41">
                  <c:v>170.5517857142857</c:v>
                </c:pt>
                <c:pt idx="42">
                  <c:v>191.61214285714283</c:v>
                </c:pt>
                <c:pt idx="43">
                  <c:v>178.22142857142856</c:v>
                </c:pt>
                <c:pt idx="44">
                  <c:v>166.31428571428572</c:v>
                </c:pt>
                <c:pt idx="45">
                  <c:v>166.34017857142857</c:v>
                </c:pt>
                <c:pt idx="46">
                  <c:v>154.12589285714287</c:v>
                </c:pt>
                <c:pt idx="47">
                  <c:v>139.03660714285715</c:v>
                </c:pt>
                <c:pt idx="48">
                  <c:v>144.91071428571428</c:v>
                </c:pt>
                <c:pt idx="49">
                  <c:v>156.2125357142857</c:v>
                </c:pt>
                <c:pt idx="50">
                  <c:v>161.14671428571427</c:v>
                </c:pt>
                <c:pt idx="51">
                  <c:v>147.4675</c:v>
                </c:pt>
                <c:pt idx="52">
                  <c:v>163.85214285714287</c:v>
                </c:pt>
                <c:pt idx="53">
                  <c:v>174.4048214285714</c:v>
                </c:pt>
                <c:pt idx="54">
                  <c:v>153.72375</c:v>
                </c:pt>
                <c:pt idx="55">
                  <c:v>156.61160714285714</c:v>
                </c:pt>
                <c:pt idx="56">
                  <c:v>219.5432142857143</c:v>
                </c:pt>
                <c:pt idx="57">
                  <c:v>159.10160714285712</c:v>
                </c:pt>
                <c:pt idx="58">
                  <c:v>171.5285714285714</c:v>
                </c:pt>
                <c:pt idx="59">
                  <c:v>156.69375</c:v>
                </c:pt>
                <c:pt idx="60">
                  <c:v>153.1942857142857</c:v>
                </c:pt>
                <c:pt idx="61">
                  <c:v>149.71785714285716</c:v>
                </c:pt>
                <c:pt idx="62">
                  <c:v>160.5475</c:v>
                </c:pt>
                <c:pt idx="63">
                  <c:v>167.8199285714286</c:v>
                </c:pt>
                <c:pt idx="64">
                  <c:v>162.9630357142857</c:v>
                </c:pt>
                <c:pt idx="65">
                  <c:v>176.11214285714286</c:v>
                </c:pt>
                <c:pt idx="66">
                  <c:v>155.03053571428572</c:v>
                </c:pt>
                <c:pt idx="67">
                  <c:v>162.23125000000002</c:v>
                </c:pt>
                <c:pt idx="68">
                  <c:v>150.01275</c:v>
                </c:pt>
                <c:pt idx="69">
                  <c:v>157.28367857142857</c:v>
                </c:pt>
                <c:pt idx="70">
                  <c:v>158.86714285714285</c:v>
                </c:pt>
                <c:pt idx="71">
                  <c:v>151.21792857142856</c:v>
                </c:pt>
                <c:pt idx="72">
                  <c:v>156.85267857142856</c:v>
                </c:pt>
                <c:pt idx="73">
                  <c:v>149.06578571428574</c:v>
                </c:pt>
                <c:pt idx="74">
                  <c:v>132.54285714285714</c:v>
                </c:pt>
                <c:pt idx="75">
                  <c:v>159.81917857142858</c:v>
                </c:pt>
                <c:pt idx="76">
                  <c:v>142.95635714285714</c:v>
                </c:pt>
                <c:pt idx="77">
                  <c:v>155.7892857142857</c:v>
                </c:pt>
                <c:pt idx="78">
                  <c:v>149.44464285714287</c:v>
                </c:pt>
                <c:pt idx="79">
                  <c:v>147.82392857142858</c:v>
                </c:pt>
                <c:pt idx="80">
                  <c:v>130.17142857142858</c:v>
                </c:pt>
                <c:pt idx="81">
                  <c:v>109.05642857142857</c:v>
                </c:pt>
                <c:pt idx="82">
                  <c:v>128.93410714285713</c:v>
                </c:pt>
                <c:pt idx="83">
                  <c:v>144.46339285714285</c:v>
                </c:pt>
                <c:pt idx="84">
                  <c:v>155.20535714285714</c:v>
                </c:pt>
                <c:pt idx="85">
                  <c:v>122.71964285714284</c:v>
                </c:pt>
                <c:pt idx="86">
                  <c:v>147.2357142857143</c:v>
                </c:pt>
                <c:pt idx="87">
                  <c:v>84.36196428571428</c:v>
                </c:pt>
                <c:pt idx="88">
                  <c:v>127.32732142857144</c:v>
                </c:pt>
                <c:pt idx="89">
                  <c:v>138.14910714285713</c:v>
                </c:pt>
                <c:pt idx="90">
                  <c:v>138.6475</c:v>
                </c:pt>
                <c:pt idx="91">
                  <c:v>124.62167857142857</c:v>
                </c:pt>
                <c:pt idx="92">
                  <c:v>135.92964285714285</c:v>
                </c:pt>
                <c:pt idx="93">
                  <c:v>141.2269642857143</c:v>
                </c:pt>
                <c:pt idx="94">
                  <c:v>115.53660714285715</c:v>
                </c:pt>
                <c:pt idx="95">
                  <c:v>134.39589285714285</c:v>
                </c:pt>
                <c:pt idx="96">
                  <c:v>144.76767857142855</c:v>
                </c:pt>
                <c:pt idx="97">
                  <c:v>149.80714285714285</c:v>
                </c:pt>
              </c:numCache>
            </c:numRef>
          </c:val>
          <c:smooth val="0"/>
        </c:ser>
        <c:marker val="1"/>
        <c:axId val="26400719"/>
        <c:axId val="36279880"/>
      </c:lineChart>
      <c:dateAx>
        <c:axId val="26400719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9880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627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00719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Total Cations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208"/>
          <c:w val="0.08975"/>
          <c:h val="0.76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083465"/>
        <c:axId val="52989138"/>
      </c:lineChart>
      <c:catAx>
        <c:axId val="58083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9138"/>
        <c:crosses val="autoZero"/>
        <c:auto val="1"/>
        <c:lblOffset val="100"/>
        <c:tickLblSkip val="1"/>
        <c:noMultiLvlLbl val="0"/>
      </c:catAx>
      <c:valAx>
        <c:axId val="52989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8346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Total Cations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22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data'!$BO$8:$BO$105</c:f>
              <c:numCache>
                <c:ptCount val="98"/>
                <c:pt idx="0">
                  <c:v>169.4715973881191</c:v>
                </c:pt>
                <c:pt idx="1">
                  <c:v>211.90806258958435</c:v>
                </c:pt>
                <c:pt idx="2">
                  <c:v>221.81174151935022</c:v>
                </c:pt>
                <c:pt idx="3">
                  <c:v>215.20792243987896</c:v>
                </c:pt>
                <c:pt idx="4">
                  <c:v>230.64827599936297</c:v>
                </c:pt>
                <c:pt idx="5">
                  <c:v>180.9490133779264</c:v>
                </c:pt>
                <c:pt idx="6">
                  <c:v>162.51870759675106</c:v>
                </c:pt>
                <c:pt idx="7">
                  <c:v>226.42367654085047</c:v>
                </c:pt>
                <c:pt idx="8">
                  <c:v>251.08186016881672</c:v>
                </c:pt>
                <c:pt idx="9">
                  <c:v>221.5982640547858</c:v>
                </c:pt>
                <c:pt idx="10">
                  <c:v>253.58287545787545</c:v>
                </c:pt>
                <c:pt idx="11">
                  <c:v>205.20209109730848</c:v>
                </c:pt>
                <c:pt idx="12">
                  <c:v>226.14839942666032</c:v>
                </c:pt>
                <c:pt idx="13">
                  <c:v>224.3147650899825</c:v>
                </c:pt>
                <c:pt idx="14">
                  <c:v>233.26424112119764</c:v>
                </c:pt>
                <c:pt idx="15">
                  <c:v>241.57222885809844</c:v>
                </c:pt>
                <c:pt idx="16">
                  <c:v>203.7967216117216</c:v>
                </c:pt>
                <c:pt idx="17">
                  <c:v>207.08919573180444</c:v>
                </c:pt>
                <c:pt idx="18">
                  <c:v>227.80000955566175</c:v>
                </c:pt>
                <c:pt idx="19">
                  <c:v>241.51528268832618</c:v>
                </c:pt>
                <c:pt idx="20">
                  <c:v>245.25247650899823</c:v>
                </c:pt>
                <c:pt idx="21">
                  <c:v>253.01339385252427</c:v>
                </c:pt>
                <c:pt idx="22">
                  <c:v>233.0152611880873</c:v>
                </c:pt>
                <c:pt idx="23">
                  <c:v>214.2412701067049</c:v>
                </c:pt>
                <c:pt idx="24">
                  <c:v>236.13399028507723</c:v>
                </c:pt>
                <c:pt idx="25">
                  <c:v>201.1477854753942</c:v>
                </c:pt>
                <c:pt idx="26">
                  <c:v>200.34244863831822</c:v>
                </c:pt>
                <c:pt idx="27">
                  <c:v>199.8149713330148</c:v>
                </c:pt>
                <c:pt idx="28">
                  <c:v>219.75121993948082</c:v>
                </c:pt>
                <c:pt idx="29">
                  <c:v>255.18680522376175</c:v>
                </c:pt>
                <c:pt idx="30">
                  <c:v>268.8268713170887</c:v>
                </c:pt>
                <c:pt idx="31">
                  <c:v>199.7717319636885</c:v>
                </c:pt>
                <c:pt idx="32">
                  <c:v>211.34342729734036</c:v>
                </c:pt>
                <c:pt idx="33">
                  <c:v>251.54571189679885</c:v>
                </c:pt>
                <c:pt idx="34">
                  <c:v>235.54043637521897</c:v>
                </c:pt>
                <c:pt idx="35">
                  <c:v>220.54857222487658</c:v>
                </c:pt>
                <c:pt idx="36">
                  <c:v>231.45437171524128</c:v>
                </c:pt>
                <c:pt idx="37">
                  <c:v>210.05653766523332</c:v>
                </c:pt>
                <c:pt idx="38">
                  <c:v>210.63425704730054</c:v>
                </c:pt>
                <c:pt idx="39">
                  <c:v>207.19672718585764</c:v>
                </c:pt>
                <c:pt idx="40">
                  <c:v>236.26724000637043</c:v>
                </c:pt>
                <c:pt idx="41">
                  <c:v>236.2237617455009</c:v>
                </c:pt>
                <c:pt idx="42">
                  <c:v>285.43981525720653</c:v>
                </c:pt>
                <c:pt idx="43">
                  <c:v>257.79426262143653</c:v>
                </c:pt>
                <c:pt idx="44">
                  <c:v>354.0446368848543</c:v>
                </c:pt>
                <c:pt idx="45">
                  <c:v>289.8706402293359</c:v>
                </c:pt>
                <c:pt idx="46">
                  <c:v>243.75921563943305</c:v>
                </c:pt>
                <c:pt idx="47">
                  <c:v>242.34368928173276</c:v>
                </c:pt>
                <c:pt idx="48">
                  <c:v>253.04435817805384</c:v>
                </c:pt>
                <c:pt idx="49">
                  <c:v>255.66202818920212</c:v>
                </c:pt>
                <c:pt idx="50">
                  <c:v>295.1874741200828</c:v>
                </c:pt>
                <c:pt idx="51">
                  <c:v>227.03479375696764</c:v>
                </c:pt>
                <c:pt idx="52">
                  <c:v>215.40615862398468</c:v>
                </c:pt>
                <c:pt idx="53">
                  <c:v>201.09853878006052</c:v>
                </c:pt>
                <c:pt idx="54">
                  <c:v>198.6329590699156</c:v>
                </c:pt>
                <c:pt idx="55">
                  <c:v>221.05687211339387</c:v>
                </c:pt>
                <c:pt idx="56">
                  <c:v>218.7584495938844</c:v>
                </c:pt>
                <c:pt idx="57">
                  <c:v>198.54814859053988</c:v>
                </c:pt>
                <c:pt idx="58">
                  <c:v>247.75575728619208</c:v>
                </c:pt>
                <c:pt idx="59">
                  <c:v>251.99012183468705</c:v>
                </c:pt>
                <c:pt idx="60">
                  <c:v>302.79224000637043</c:v>
                </c:pt>
                <c:pt idx="61">
                  <c:v>298.2154562828476</c:v>
                </c:pt>
                <c:pt idx="62">
                  <c:v>281.33917423156555</c:v>
                </c:pt>
                <c:pt idx="63">
                  <c:v>213.85882306099697</c:v>
                </c:pt>
                <c:pt idx="64">
                  <c:v>211.9513083293518</c:v>
                </c:pt>
                <c:pt idx="65">
                  <c:v>246.62417980570152</c:v>
                </c:pt>
                <c:pt idx="66">
                  <c:v>233.4589345437172</c:v>
                </c:pt>
                <c:pt idx="67">
                  <c:v>237.663839783405</c:v>
                </c:pt>
                <c:pt idx="68">
                  <c:v>259.7722567287785</c:v>
                </c:pt>
                <c:pt idx="69">
                  <c:v>276.3618609651219</c:v>
                </c:pt>
                <c:pt idx="70">
                  <c:v>278.09469262621434</c:v>
                </c:pt>
                <c:pt idx="71">
                  <c:v>279.8566491479535</c:v>
                </c:pt>
                <c:pt idx="72">
                  <c:v>255.9494147157191</c:v>
                </c:pt>
                <c:pt idx="73">
                  <c:v>226.9531398311833</c:v>
                </c:pt>
                <c:pt idx="74">
                  <c:v>205.21077241598982</c:v>
                </c:pt>
                <c:pt idx="75">
                  <c:v>252.61969262621437</c:v>
                </c:pt>
                <c:pt idx="76">
                  <c:v>211.00320433189998</c:v>
                </c:pt>
                <c:pt idx="77">
                  <c:v>272.5440516005733</c:v>
                </c:pt>
                <c:pt idx="78">
                  <c:v>238.96389552476506</c:v>
                </c:pt>
                <c:pt idx="79">
                  <c:v>236.0507963051441</c:v>
                </c:pt>
                <c:pt idx="80">
                  <c:v>194.38647634973722</c:v>
                </c:pt>
                <c:pt idx="81">
                  <c:v>178.99119206880079</c:v>
                </c:pt>
                <c:pt idx="82">
                  <c:v>204.435712693104</c:v>
                </c:pt>
                <c:pt idx="83">
                  <c:v>235.74469262621434</c:v>
                </c:pt>
                <c:pt idx="84">
                  <c:v>249.6477026596592</c:v>
                </c:pt>
                <c:pt idx="85">
                  <c:v>229.43956442108617</c:v>
                </c:pt>
                <c:pt idx="86">
                  <c:v>291.99516642777513</c:v>
                </c:pt>
                <c:pt idx="87">
                  <c:v>211.42114190157668</c:v>
                </c:pt>
                <c:pt idx="88">
                  <c:v>288.0391224717312</c:v>
                </c:pt>
                <c:pt idx="89">
                  <c:v>290.4477305303392</c:v>
                </c:pt>
                <c:pt idx="90">
                  <c:v>212.97835642618253</c:v>
                </c:pt>
                <c:pt idx="91">
                  <c:v>160.59616977225673</c:v>
                </c:pt>
                <c:pt idx="92">
                  <c:v>200.48194457716198</c:v>
                </c:pt>
                <c:pt idx="93">
                  <c:v>280.1599657588788</c:v>
                </c:pt>
                <c:pt idx="94">
                  <c:v>180.4599546106068</c:v>
                </c:pt>
                <c:pt idx="95">
                  <c:v>169.25761904761904</c:v>
                </c:pt>
                <c:pt idx="96">
                  <c:v>200.73717311673835</c:v>
                </c:pt>
                <c:pt idx="97">
                  <c:v>216.4813115145724</c:v>
                </c:pt>
              </c:numCache>
            </c:numRef>
          </c:val>
          <c:smooth val="0"/>
        </c:ser>
        <c:marker val="1"/>
        <c:axId val="7140195"/>
        <c:axId val="64261756"/>
      </c:lineChart>
      <c:dateAx>
        <c:axId val="714019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61756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426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4019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Rain Gauge 7
Zn</a:t>
            </a:r>
          </a:p>
        </c:rich>
      </c:tx>
      <c:layout>
        <c:manualLayout>
          <c:xMode val="factor"/>
          <c:yMode val="factor"/>
          <c:x val="-0.4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425"/>
          <c:y val="0.1595"/>
          <c:w val="0.08975"/>
          <c:h val="0.81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484893"/>
        <c:axId val="37819718"/>
      </c:lineChart>
      <c:catAx>
        <c:axId val="41484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4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9718"/>
        <c:crosses val="autoZero"/>
        <c:auto val="1"/>
        <c:lblOffset val="100"/>
        <c:tickLblSkip val="1"/>
        <c:noMultiLvlLbl val="0"/>
      </c:catAx>
      <c:valAx>
        <c:axId val="37819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84893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Zn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855"/>
          <c:w val="0.92075"/>
          <c:h val="0.647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data'!$AV$8:$AV$105</c:f>
              <c:numCache>
                <c:ptCount val="98"/>
                <c:pt idx="0">
                  <c:v>0.061538461538461535</c:v>
                </c:pt>
                <c:pt idx="1">
                  <c:v>0.061538461538461535</c:v>
                </c:pt>
                <c:pt idx="2">
                  <c:v>0.16615384615384618</c:v>
                </c:pt>
                <c:pt idx="3">
                  <c:v>0.11076923076923076</c:v>
                </c:pt>
                <c:pt idx="4">
                  <c:v>0.061538461538461535</c:v>
                </c:pt>
                <c:pt idx="5">
                  <c:v>0.06184615384615385</c:v>
                </c:pt>
                <c:pt idx="6">
                  <c:v>0.13538461538461538</c:v>
                </c:pt>
                <c:pt idx="7">
                  <c:v>0.061538461538461535</c:v>
                </c:pt>
                <c:pt idx="8">
                  <c:v>0.13230769230769232</c:v>
                </c:pt>
                <c:pt idx="9">
                  <c:v>0.061538461538461535</c:v>
                </c:pt>
                <c:pt idx="10">
                  <c:v>0.061538461538461535</c:v>
                </c:pt>
                <c:pt idx="11">
                  <c:v>0.061538461538461535</c:v>
                </c:pt>
                <c:pt idx="12">
                  <c:v>0.06246153846153847</c:v>
                </c:pt>
                <c:pt idx="13">
                  <c:v>0.061538461538461535</c:v>
                </c:pt>
                <c:pt idx="14">
                  <c:v>0.061538461538461535</c:v>
                </c:pt>
                <c:pt idx="15">
                  <c:v>0.061538461538461535</c:v>
                </c:pt>
                <c:pt idx="16">
                  <c:v>0.06369230769230769</c:v>
                </c:pt>
                <c:pt idx="17">
                  <c:v>0.06369230769230769</c:v>
                </c:pt>
                <c:pt idx="18">
                  <c:v>0.061538461538461535</c:v>
                </c:pt>
                <c:pt idx="19">
                  <c:v>0.06184615384615385</c:v>
                </c:pt>
                <c:pt idx="20">
                  <c:v>0.06184615384615385</c:v>
                </c:pt>
                <c:pt idx="21">
                  <c:v>0.061538461538461535</c:v>
                </c:pt>
                <c:pt idx="22">
                  <c:v>0.06461538461538462</c:v>
                </c:pt>
                <c:pt idx="23">
                  <c:v>0.061538461538461535</c:v>
                </c:pt>
                <c:pt idx="24">
                  <c:v>0.064</c:v>
                </c:pt>
                <c:pt idx="25">
                  <c:v>0.061538461538461535</c:v>
                </c:pt>
                <c:pt idx="26">
                  <c:v>0.06769230769230769</c:v>
                </c:pt>
                <c:pt idx="27">
                  <c:v>0.06307692307692307</c:v>
                </c:pt>
                <c:pt idx="28">
                  <c:v>0.061538461538461535</c:v>
                </c:pt>
                <c:pt idx="29">
                  <c:v>0.061538461538461535</c:v>
                </c:pt>
                <c:pt idx="30">
                  <c:v>0.061538461538461535</c:v>
                </c:pt>
                <c:pt idx="31">
                  <c:v>0.061538461538461535</c:v>
                </c:pt>
                <c:pt idx="32">
                  <c:v>0.061538461538461535</c:v>
                </c:pt>
                <c:pt idx="33">
                  <c:v>0.061538461538461535</c:v>
                </c:pt>
                <c:pt idx="34">
                  <c:v>0.061538461538461535</c:v>
                </c:pt>
                <c:pt idx="35">
                  <c:v>0.061538461538461535</c:v>
                </c:pt>
                <c:pt idx="36">
                  <c:v>0.061538461538461535</c:v>
                </c:pt>
                <c:pt idx="37">
                  <c:v>0.36923076923076925</c:v>
                </c:pt>
                <c:pt idx="38">
                  <c:v>0.061538461538461535</c:v>
                </c:pt>
                <c:pt idx="39">
                  <c:v>0.061538461538461535</c:v>
                </c:pt>
                <c:pt idx="40">
                  <c:v>0.061538461538461535</c:v>
                </c:pt>
                <c:pt idx="41">
                  <c:v>0.061538461538461535</c:v>
                </c:pt>
                <c:pt idx="42">
                  <c:v>0.061538461538461535</c:v>
                </c:pt>
                <c:pt idx="43">
                  <c:v>0.061538461538461535</c:v>
                </c:pt>
                <c:pt idx="44">
                  <c:v>0.07987692307692307</c:v>
                </c:pt>
                <c:pt idx="45">
                  <c:v>0.061538461538461535</c:v>
                </c:pt>
                <c:pt idx="46">
                  <c:v>0.08513846153846154</c:v>
                </c:pt>
                <c:pt idx="47">
                  <c:v>0.1254153846153846</c:v>
                </c:pt>
                <c:pt idx="48">
                  <c:v>0.061538461538461535</c:v>
                </c:pt>
                <c:pt idx="49">
                  <c:v>0.061538461538461535</c:v>
                </c:pt>
                <c:pt idx="50">
                  <c:v>0.19412307692307695</c:v>
                </c:pt>
                <c:pt idx="51">
                  <c:v>0.08123076923076923</c:v>
                </c:pt>
                <c:pt idx="52">
                  <c:v>0.061538461538461535</c:v>
                </c:pt>
                <c:pt idx="53">
                  <c:v>0.061538461538461535</c:v>
                </c:pt>
                <c:pt idx="54">
                  <c:v>0.061538461538461535</c:v>
                </c:pt>
                <c:pt idx="55">
                  <c:v>0.061538461538461535</c:v>
                </c:pt>
                <c:pt idx="56">
                  <c:v>0.061538461538461535</c:v>
                </c:pt>
                <c:pt idx="57">
                  <c:v>0.061538461538461535</c:v>
                </c:pt>
                <c:pt idx="58">
                  <c:v>0.061538461538461535</c:v>
                </c:pt>
                <c:pt idx="59">
                  <c:v>0.061538461538461535</c:v>
                </c:pt>
                <c:pt idx="60">
                  <c:v>0.061538461538461535</c:v>
                </c:pt>
                <c:pt idx="61">
                  <c:v>0.06818461538461539</c:v>
                </c:pt>
                <c:pt idx="62">
                  <c:v>0.0639076923076923</c:v>
                </c:pt>
                <c:pt idx="63">
                  <c:v>0.061538461538461535</c:v>
                </c:pt>
                <c:pt idx="64">
                  <c:v>0.15135384615384614</c:v>
                </c:pt>
                <c:pt idx="65">
                  <c:v>0.061538461538461535</c:v>
                </c:pt>
                <c:pt idx="66">
                  <c:v>0.061538461538461535</c:v>
                </c:pt>
                <c:pt idx="67">
                  <c:v>0.06753846153846153</c:v>
                </c:pt>
                <c:pt idx="68">
                  <c:v>0.061538461538461535</c:v>
                </c:pt>
                <c:pt idx="69">
                  <c:v>0.07932307692307691</c:v>
                </c:pt>
                <c:pt idx="70">
                  <c:v>0.061538461538461535</c:v>
                </c:pt>
                <c:pt idx="71">
                  <c:v>0.061538461538461535</c:v>
                </c:pt>
                <c:pt idx="72">
                  <c:v>0.07230769230769231</c:v>
                </c:pt>
                <c:pt idx="73">
                  <c:v>0.06969230769230769</c:v>
                </c:pt>
                <c:pt idx="74">
                  <c:v>0.06372307692307691</c:v>
                </c:pt>
                <c:pt idx="75">
                  <c:v>0.061538461538461535</c:v>
                </c:pt>
                <c:pt idx="76">
                  <c:v>0.061538461538461535</c:v>
                </c:pt>
                <c:pt idx="77">
                  <c:v>0.061538461538461535</c:v>
                </c:pt>
                <c:pt idx="78">
                  <c:v>0.061538461538461535</c:v>
                </c:pt>
                <c:pt idx="79">
                  <c:v>0.08467692307692308</c:v>
                </c:pt>
                <c:pt idx="80">
                  <c:v>0.061538461538461535</c:v>
                </c:pt>
                <c:pt idx="81">
                  <c:v>0.07270769230769232</c:v>
                </c:pt>
                <c:pt idx="82">
                  <c:v>0.07904615384615385</c:v>
                </c:pt>
                <c:pt idx="83">
                  <c:v>0.07935384615384615</c:v>
                </c:pt>
                <c:pt idx="84">
                  <c:v>0.061538461538461535</c:v>
                </c:pt>
                <c:pt idx="85">
                  <c:v>0.06787692307692308</c:v>
                </c:pt>
                <c:pt idx="86">
                  <c:v>0.061538461538461535</c:v>
                </c:pt>
                <c:pt idx="87">
                  <c:v>0.06443076923076924</c:v>
                </c:pt>
                <c:pt idx="88">
                  <c:v>0.07027692307692307</c:v>
                </c:pt>
                <c:pt idx="89">
                  <c:v>0.061538461538461535</c:v>
                </c:pt>
                <c:pt idx="90">
                  <c:v>0.061538461538461535</c:v>
                </c:pt>
                <c:pt idx="91">
                  <c:v>0.10763076923076922</c:v>
                </c:pt>
                <c:pt idx="92">
                  <c:v>0.07984615384615386</c:v>
                </c:pt>
                <c:pt idx="93">
                  <c:v>0.066</c:v>
                </c:pt>
                <c:pt idx="94">
                  <c:v>0.061538461538461535</c:v>
                </c:pt>
                <c:pt idx="95">
                  <c:v>0.09144615384615384</c:v>
                </c:pt>
                <c:pt idx="96">
                  <c:v>0.061538461538461535</c:v>
                </c:pt>
                <c:pt idx="97">
                  <c:v>0.07353846153846154</c:v>
                </c:pt>
              </c:numCache>
            </c:numRef>
          </c:val>
          <c:smooth val="0"/>
        </c:ser>
        <c:marker val="1"/>
        <c:axId val="4833143"/>
        <c:axId val="43498288"/>
      </c:lineChart>
      <c:dateAx>
        <c:axId val="4833143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828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3498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3143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Cl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625"/>
          <c:w val="0.921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data'!$AQ$8:$AQ$105</c:f>
              <c:numCache>
                <c:ptCount val="98"/>
                <c:pt idx="0">
                  <c:v>94.28571428571428</c:v>
                </c:pt>
                <c:pt idx="1">
                  <c:v>101.54285714285714</c:v>
                </c:pt>
                <c:pt idx="2">
                  <c:v>96.8</c:v>
                </c:pt>
                <c:pt idx="3">
                  <c:v>97.6857142857143</c:v>
                </c:pt>
                <c:pt idx="4">
                  <c:v>105.51428571428572</c:v>
                </c:pt>
                <c:pt idx="5">
                  <c:v>129.97142857142856</c:v>
                </c:pt>
                <c:pt idx="6">
                  <c:v>94.45714285714287</c:v>
                </c:pt>
                <c:pt idx="7">
                  <c:v>129.31428571428572</c:v>
                </c:pt>
                <c:pt idx="8">
                  <c:v>174.37142857142857</c:v>
                </c:pt>
                <c:pt idx="9">
                  <c:v>118.77142857142857</c:v>
                </c:pt>
                <c:pt idx="10">
                  <c:v>155.71428571428572</c:v>
                </c:pt>
                <c:pt idx="11">
                  <c:v>128.31428571428572</c:v>
                </c:pt>
                <c:pt idx="12">
                  <c:v>128.54285714285712</c:v>
                </c:pt>
                <c:pt idx="13">
                  <c:v>135.14285714285714</c:v>
                </c:pt>
                <c:pt idx="14">
                  <c:v>126.28571428571428</c:v>
                </c:pt>
                <c:pt idx="15">
                  <c:v>122.34285714285714</c:v>
                </c:pt>
                <c:pt idx="16">
                  <c:v>125.91428571428573</c:v>
                </c:pt>
                <c:pt idx="17">
                  <c:v>109.02857142857142</c:v>
                </c:pt>
                <c:pt idx="18">
                  <c:v>121.65714285714286</c:v>
                </c:pt>
                <c:pt idx="19">
                  <c:v>118.22857142857141</c:v>
                </c:pt>
                <c:pt idx="20">
                  <c:v>122.74285714285715</c:v>
                </c:pt>
                <c:pt idx="21">
                  <c:v>121.99999999999999</c:v>
                </c:pt>
                <c:pt idx="22">
                  <c:v>122.97142857142858</c:v>
                </c:pt>
                <c:pt idx="23">
                  <c:v>112.37142857142857</c:v>
                </c:pt>
                <c:pt idx="24">
                  <c:v>124.08571428571429</c:v>
                </c:pt>
                <c:pt idx="25">
                  <c:v>113.74285714285715</c:v>
                </c:pt>
                <c:pt idx="26">
                  <c:v>111.4</c:v>
                </c:pt>
                <c:pt idx="27">
                  <c:v>147.02857142857144</c:v>
                </c:pt>
                <c:pt idx="28">
                  <c:v>132.94285714285715</c:v>
                </c:pt>
                <c:pt idx="29">
                  <c:v>131.6</c:v>
                </c:pt>
                <c:pt idx="30">
                  <c:v>131.45714285714286</c:v>
                </c:pt>
                <c:pt idx="31">
                  <c:v>114.65714285714286</c:v>
                </c:pt>
                <c:pt idx="32">
                  <c:v>113.17142857142856</c:v>
                </c:pt>
                <c:pt idx="33">
                  <c:v>115.99999999999999</c:v>
                </c:pt>
                <c:pt idx="34">
                  <c:v>116.8</c:v>
                </c:pt>
                <c:pt idx="35">
                  <c:v>129.51257142857142</c:v>
                </c:pt>
                <c:pt idx="36">
                  <c:v>119.19999999999999</c:v>
                </c:pt>
                <c:pt idx="37">
                  <c:v>105.91428571428571</c:v>
                </c:pt>
                <c:pt idx="38">
                  <c:v>111.60000000000001</c:v>
                </c:pt>
                <c:pt idx="39">
                  <c:v>87.11428571428571</c:v>
                </c:pt>
                <c:pt idx="40">
                  <c:v>132.82857142857142</c:v>
                </c:pt>
                <c:pt idx="41">
                  <c:v>132.68571428571428</c:v>
                </c:pt>
                <c:pt idx="42">
                  <c:v>148.48571428571427</c:v>
                </c:pt>
                <c:pt idx="43">
                  <c:v>133.1142857142857</c:v>
                </c:pt>
                <c:pt idx="44">
                  <c:v>123.02857142857142</c:v>
                </c:pt>
                <c:pt idx="45">
                  <c:v>126.48571428571428</c:v>
                </c:pt>
                <c:pt idx="46">
                  <c:v>114.17142857142858</c:v>
                </c:pt>
                <c:pt idx="47">
                  <c:v>102.85714285714286</c:v>
                </c:pt>
                <c:pt idx="48">
                  <c:v>105.2</c:v>
                </c:pt>
                <c:pt idx="49">
                  <c:v>117.64257142857143</c:v>
                </c:pt>
                <c:pt idx="50">
                  <c:v>118.476</c:v>
                </c:pt>
                <c:pt idx="51">
                  <c:v>106.08571428571429</c:v>
                </c:pt>
                <c:pt idx="52">
                  <c:v>117.4857142857143</c:v>
                </c:pt>
                <c:pt idx="53">
                  <c:v>135.9142857142857</c:v>
                </c:pt>
                <c:pt idx="54">
                  <c:v>116.85714285714285</c:v>
                </c:pt>
                <c:pt idx="55">
                  <c:v>116.3142857142857</c:v>
                </c:pt>
                <c:pt idx="56">
                  <c:v>175.02857142857144</c:v>
                </c:pt>
                <c:pt idx="57">
                  <c:v>117.22857142857141</c:v>
                </c:pt>
                <c:pt idx="58">
                  <c:v>122.17142857142856</c:v>
                </c:pt>
                <c:pt idx="59">
                  <c:v>116.3142857142857</c:v>
                </c:pt>
                <c:pt idx="60">
                  <c:v>113.65714285714286</c:v>
                </c:pt>
                <c:pt idx="61">
                  <c:v>115.25714285714285</c:v>
                </c:pt>
                <c:pt idx="62">
                  <c:v>120.54285714285714</c:v>
                </c:pt>
                <c:pt idx="63">
                  <c:v>126.97142857142858</c:v>
                </c:pt>
                <c:pt idx="64">
                  <c:v>131.88571428571427</c:v>
                </c:pt>
                <c:pt idx="65">
                  <c:v>134.14285714285714</c:v>
                </c:pt>
                <c:pt idx="66">
                  <c:v>114.8</c:v>
                </c:pt>
                <c:pt idx="67">
                  <c:v>135.11428571428573</c:v>
                </c:pt>
                <c:pt idx="68">
                  <c:v>114.51428571428572</c:v>
                </c:pt>
                <c:pt idx="69">
                  <c:v>117.17142857142856</c:v>
                </c:pt>
                <c:pt idx="70">
                  <c:v>117.68571428571428</c:v>
                </c:pt>
                <c:pt idx="71">
                  <c:v>112.02857142857142</c:v>
                </c:pt>
                <c:pt idx="72">
                  <c:v>116.88571428571429</c:v>
                </c:pt>
                <c:pt idx="73">
                  <c:v>114.02857142857144</c:v>
                </c:pt>
                <c:pt idx="74">
                  <c:v>100.05714285714285</c:v>
                </c:pt>
                <c:pt idx="75">
                  <c:v>119.31428571428572</c:v>
                </c:pt>
                <c:pt idx="76">
                  <c:v>109.57142857142857</c:v>
                </c:pt>
                <c:pt idx="77">
                  <c:v>114.60000000000001</c:v>
                </c:pt>
                <c:pt idx="78">
                  <c:v>107.88571428571429</c:v>
                </c:pt>
                <c:pt idx="79">
                  <c:v>101.82857142857144</c:v>
                </c:pt>
                <c:pt idx="80">
                  <c:v>91.08571428571429</c:v>
                </c:pt>
                <c:pt idx="81">
                  <c:v>74.28571428571429</c:v>
                </c:pt>
                <c:pt idx="82">
                  <c:v>91.39999999999999</c:v>
                </c:pt>
                <c:pt idx="83">
                  <c:v>103.37142857142857</c:v>
                </c:pt>
                <c:pt idx="84">
                  <c:v>112.85714285714286</c:v>
                </c:pt>
                <c:pt idx="85">
                  <c:v>96.57142857142857</c:v>
                </c:pt>
                <c:pt idx="86">
                  <c:v>106.2</c:v>
                </c:pt>
                <c:pt idx="87">
                  <c:v>60.514285714285705</c:v>
                </c:pt>
                <c:pt idx="88">
                  <c:v>87.17142857142858</c:v>
                </c:pt>
                <c:pt idx="89">
                  <c:v>97.45714285714286</c:v>
                </c:pt>
                <c:pt idx="90">
                  <c:v>96.51428571428572</c:v>
                </c:pt>
                <c:pt idx="91">
                  <c:v>96.42857142857143</c:v>
                </c:pt>
                <c:pt idx="92">
                  <c:v>96.19999999999999</c:v>
                </c:pt>
                <c:pt idx="93">
                  <c:v>95.97142857142858</c:v>
                </c:pt>
                <c:pt idx="94">
                  <c:v>82.25714285714287</c:v>
                </c:pt>
                <c:pt idx="95">
                  <c:v>99.51428571428572</c:v>
                </c:pt>
                <c:pt idx="96">
                  <c:v>101.65714285714284</c:v>
                </c:pt>
                <c:pt idx="97">
                  <c:v>113.17142857142856</c:v>
                </c:pt>
              </c:numCache>
            </c:numRef>
          </c:val>
          <c:smooth val="0"/>
        </c:ser>
        <c:marker val="1"/>
        <c:axId val="35689761"/>
        <c:axId val="52772394"/>
      </c:lineChart>
      <c:dateAx>
        <c:axId val="3568976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7239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2772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761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Conductivity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625"/>
          <c:w val="0.921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data'!$U$8:$U$105</c:f>
              <c:numCache>
                <c:ptCount val="98"/>
                <c:pt idx="0">
                  <c:v>22.341</c:v>
                </c:pt>
                <c:pt idx="1">
                  <c:v>27.137</c:v>
                </c:pt>
                <c:pt idx="2">
                  <c:v>25.329</c:v>
                </c:pt>
                <c:pt idx="3">
                  <c:v>24.451</c:v>
                </c:pt>
                <c:pt idx="4">
                  <c:v>27.688</c:v>
                </c:pt>
                <c:pt idx="5">
                  <c:v>22.602</c:v>
                </c:pt>
                <c:pt idx="6">
                  <c:v>20.081</c:v>
                </c:pt>
                <c:pt idx="7">
                  <c:v>28.364</c:v>
                </c:pt>
                <c:pt idx="8">
                  <c:v>31.926</c:v>
                </c:pt>
                <c:pt idx="9">
                  <c:v>27.814</c:v>
                </c:pt>
                <c:pt idx="10">
                  <c:v>32.248</c:v>
                </c:pt>
                <c:pt idx="11">
                  <c:v>26.762</c:v>
                </c:pt>
                <c:pt idx="12">
                  <c:v>28.448</c:v>
                </c:pt>
                <c:pt idx="13">
                  <c:v>28.367</c:v>
                </c:pt>
                <c:pt idx="14">
                  <c:v>29.074</c:v>
                </c:pt>
                <c:pt idx="15">
                  <c:v>29.894</c:v>
                </c:pt>
                <c:pt idx="16">
                  <c:v>25.863</c:v>
                </c:pt>
                <c:pt idx="17">
                  <c:v>24.761</c:v>
                </c:pt>
                <c:pt idx="18">
                  <c:v>28.83</c:v>
                </c:pt>
                <c:pt idx="19">
                  <c:v>29.706</c:v>
                </c:pt>
                <c:pt idx="20">
                  <c:v>30.608</c:v>
                </c:pt>
                <c:pt idx="21">
                  <c:v>30.611</c:v>
                </c:pt>
                <c:pt idx="22">
                  <c:v>29.133</c:v>
                </c:pt>
                <c:pt idx="23">
                  <c:v>28.297</c:v>
                </c:pt>
                <c:pt idx="24">
                  <c:v>29.31</c:v>
                </c:pt>
                <c:pt idx="25">
                  <c:v>26.339</c:v>
                </c:pt>
                <c:pt idx="26">
                  <c:v>25.93</c:v>
                </c:pt>
                <c:pt idx="27">
                  <c:v>25.914</c:v>
                </c:pt>
                <c:pt idx="28">
                  <c:v>28.839</c:v>
                </c:pt>
                <c:pt idx="29">
                  <c:v>31.68</c:v>
                </c:pt>
                <c:pt idx="30">
                  <c:v>31.991</c:v>
                </c:pt>
                <c:pt idx="31">
                  <c:v>25.761</c:v>
                </c:pt>
                <c:pt idx="32">
                  <c:v>26.744</c:v>
                </c:pt>
                <c:pt idx="33">
                  <c:v>26.035</c:v>
                </c:pt>
                <c:pt idx="34">
                  <c:v>28.855</c:v>
                </c:pt>
                <c:pt idx="35">
                  <c:v>26.725</c:v>
                </c:pt>
                <c:pt idx="36">
                  <c:v>29.346</c:v>
                </c:pt>
                <c:pt idx="37">
                  <c:v>26.274</c:v>
                </c:pt>
                <c:pt idx="38">
                  <c:v>26.188</c:v>
                </c:pt>
                <c:pt idx="39">
                  <c:v>22.1</c:v>
                </c:pt>
                <c:pt idx="40">
                  <c:v>28.512</c:v>
                </c:pt>
                <c:pt idx="41">
                  <c:v>28.428</c:v>
                </c:pt>
                <c:pt idx="42">
                  <c:v>29.739</c:v>
                </c:pt>
                <c:pt idx="43">
                  <c:v>29.512</c:v>
                </c:pt>
                <c:pt idx="44">
                  <c:v>30.588</c:v>
                </c:pt>
                <c:pt idx="45">
                  <c:v>29.398</c:v>
                </c:pt>
                <c:pt idx="46">
                  <c:v>28.036</c:v>
                </c:pt>
                <c:pt idx="47">
                  <c:v>25.706</c:v>
                </c:pt>
                <c:pt idx="48">
                  <c:v>27.488</c:v>
                </c:pt>
                <c:pt idx="49">
                  <c:v>28.397</c:v>
                </c:pt>
                <c:pt idx="50">
                  <c:v>28.335</c:v>
                </c:pt>
                <c:pt idx="51">
                  <c:v>23.924</c:v>
                </c:pt>
                <c:pt idx="52">
                  <c:v>28.189</c:v>
                </c:pt>
                <c:pt idx="53">
                  <c:v>26.551</c:v>
                </c:pt>
                <c:pt idx="54">
                  <c:v>23.475</c:v>
                </c:pt>
                <c:pt idx="55">
                  <c:v>27.773</c:v>
                </c:pt>
                <c:pt idx="56">
                  <c:v>28.804</c:v>
                </c:pt>
                <c:pt idx="57">
                  <c:v>25.676</c:v>
                </c:pt>
                <c:pt idx="58">
                  <c:v>28.182</c:v>
                </c:pt>
                <c:pt idx="59">
                  <c:v>28.332</c:v>
                </c:pt>
                <c:pt idx="60">
                  <c:v>27.175</c:v>
                </c:pt>
                <c:pt idx="61">
                  <c:v>26.683</c:v>
                </c:pt>
                <c:pt idx="62">
                  <c:v>26.258</c:v>
                </c:pt>
                <c:pt idx="63">
                  <c:v>25.611</c:v>
                </c:pt>
                <c:pt idx="64">
                  <c:v>25.87</c:v>
                </c:pt>
                <c:pt idx="65">
                  <c:v>28.55</c:v>
                </c:pt>
                <c:pt idx="66">
                  <c:v>26.46</c:v>
                </c:pt>
                <c:pt idx="67">
                  <c:v>25.58</c:v>
                </c:pt>
                <c:pt idx="68">
                  <c:v>26.55</c:v>
                </c:pt>
                <c:pt idx="69">
                  <c:v>28.05</c:v>
                </c:pt>
                <c:pt idx="70">
                  <c:v>28.73</c:v>
                </c:pt>
                <c:pt idx="71">
                  <c:v>28.69</c:v>
                </c:pt>
                <c:pt idx="72">
                  <c:v>28.74</c:v>
                </c:pt>
                <c:pt idx="73">
                  <c:v>26.67</c:v>
                </c:pt>
                <c:pt idx="74">
                  <c:v>23.25</c:v>
                </c:pt>
                <c:pt idx="75">
                  <c:v>28.46</c:v>
                </c:pt>
                <c:pt idx="76">
                  <c:v>26.71</c:v>
                </c:pt>
                <c:pt idx="77">
                  <c:v>28.34</c:v>
                </c:pt>
                <c:pt idx="78">
                  <c:v>26.28</c:v>
                </c:pt>
                <c:pt idx="79">
                  <c:v>25.79</c:v>
                </c:pt>
                <c:pt idx="80">
                  <c:v>21.45</c:v>
                </c:pt>
                <c:pt idx="81">
                  <c:v>20.04</c:v>
                </c:pt>
                <c:pt idx="82">
                  <c:v>23.39</c:v>
                </c:pt>
                <c:pt idx="83">
                  <c:v>27.25</c:v>
                </c:pt>
                <c:pt idx="84">
                  <c:v>28.84</c:v>
                </c:pt>
                <c:pt idx="85">
                  <c:v>24.98</c:v>
                </c:pt>
                <c:pt idx="86">
                  <c:v>28.64</c:v>
                </c:pt>
                <c:pt idx="87">
                  <c:v>20.52</c:v>
                </c:pt>
                <c:pt idx="88">
                  <c:v>25.43</c:v>
                </c:pt>
                <c:pt idx="89">
                  <c:v>23.41</c:v>
                </c:pt>
                <c:pt idx="90">
                  <c:v>26.7</c:v>
                </c:pt>
                <c:pt idx="91">
                  <c:v>21.99</c:v>
                </c:pt>
                <c:pt idx="92">
                  <c:v>23.16</c:v>
                </c:pt>
                <c:pt idx="93">
                  <c:v>26.11</c:v>
                </c:pt>
                <c:pt idx="94">
                  <c:v>22.67</c:v>
                </c:pt>
                <c:pt idx="95">
                  <c:v>22.87</c:v>
                </c:pt>
                <c:pt idx="96">
                  <c:v>28.34</c:v>
                </c:pt>
                <c:pt idx="97">
                  <c:v>25.71</c:v>
                </c:pt>
              </c:numCache>
            </c:numRef>
          </c:val>
          <c:smooth val="0"/>
        </c:ser>
        <c:marker val="1"/>
        <c:axId val="5189499"/>
        <c:axId val="46705492"/>
      </c:lineChart>
      <c:dateAx>
        <c:axId val="5189499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549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6705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µScm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499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Cu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625"/>
          <c:w val="0.921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data'!$AU$8:$AU$105</c:f>
              <c:numCache>
                <c:ptCount val="98"/>
                <c:pt idx="0">
                  <c:v>0.06349206349206349</c:v>
                </c:pt>
                <c:pt idx="1">
                  <c:v>0.06349206349206349</c:v>
                </c:pt>
                <c:pt idx="2">
                  <c:v>0.06666666666666665</c:v>
                </c:pt>
                <c:pt idx="3">
                  <c:v>0.06349206349206349</c:v>
                </c:pt>
                <c:pt idx="4">
                  <c:v>0.06349206349206349</c:v>
                </c:pt>
                <c:pt idx="5">
                  <c:v>0.06349206349206349</c:v>
                </c:pt>
                <c:pt idx="6">
                  <c:v>0.06349206349206349</c:v>
                </c:pt>
                <c:pt idx="7">
                  <c:v>0.06349206349206349</c:v>
                </c:pt>
                <c:pt idx="8">
                  <c:v>0.4444444444444445</c:v>
                </c:pt>
                <c:pt idx="9">
                  <c:v>0.06349206349206349</c:v>
                </c:pt>
                <c:pt idx="10">
                  <c:v>0.06349206349206349</c:v>
                </c:pt>
                <c:pt idx="11">
                  <c:v>0.06349206349206349</c:v>
                </c:pt>
                <c:pt idx="12">
                  <c:v>0.06349206349206349</c:v>
                </c:pt>
                <c:pt idx="13">
                  <c:v>0.06349206349206349</c:v>
                </c:pt>
                <c:pt idx="14">
                  <c:v>0.06349206349206349</c:v>
                </c:pt>
                <c:pt idx="15">
                  <c:v>0.06349206349206349</c:v>
                </c:pt>
                <c:pt idx="16">
                  <c:v>0.06349206349206349</c:v>
                </c:pt>
                <c:pt idx="17">
                  <c:v>0.06349206349206349</c:v>
                </c:pt>
                <c:pt idx="18">
                  <c:v>0.06349206349206349</c:v>
                </c:pt>
                <c:pt idx="19">
                  <c:v>0.06349206349206349</c:v>
                </c:pt>
                <c:pt idx="20">
                  <c:v>0.06349206349206349</c:v>
                </c:pt>
                <c:pt idx="21">
                  <c:v>0.06349206349206349</c:v>
                </c:pt>
                <c:pt idx="22">
                  <c:v>0.06349206349206349</c:v>
                </c:pt>
                <c:pt idx="23">
                  <c:v>0.06349206349206349</c:v>
                </c:pt>
                <c:pt idx="24">
                  <c:v>0.06349206349206349</c:v>
                </c:pt>
                <c:pt idx="25">
                  <c:v>0.11428571428571428</c:v>
                </c:pt>
                <c:pt idx="26">
                  <c:v>0.06349206349206349</c:v>
                </c:pt>
                <c:pt idx="27">
                  <c:v>0.06349206349206349</c:v>
                </c:pt>
                <c:pt idx="28">
                  <c:v>0.06349206349206349</c:v>
                </c:pt>
                <c:pt idx="29">
                  <c:v>0.06349206349206349</c:v>
                </c:pt>
                <c:pt idx="30">
                  <c:v>0.06349206349206349</c:v>
                </c:pt>
                <c:pt idx="31">
                  <c:v>0.06349206349206349</c:v>
                </c:pt>
                <c:pt idx="32">
                  <c:v>0.06349206349206349</c:v>
                </c:pt>
                <c:pt idx="33">
                  <c:v>0.06349206349206349</c:v>
                </c:pt>
                <c:pt idx="34">
                  <c:v>0.06349206349206349</c:v>
                </c:pt>
                <c:pt idx="35">
                  <c:v>0.06349206349206349</c:v>
                </c:pt>
                <c:pt idx="36">
                  <c:v>0.06349206349206349</c:v>
                </c:pt>
                <c:pt idx="37">
                  <c:v>0.06349206349206349</c:v>
                </c:pt>
                <c:pt idx="38">
                  <c:v>0.06349206349206349</c:v>
                </c:pt>
                <c:pt idx="39">
                  <c:v>0.06349206349206349</c:v>
                </c:pt>
                <c:pt idx="40">
                  <c:v>0.06349206349206349</c:v>
                </c:pt>
                <c:pt idx="41">
                  <c:v>0.06349206349206349</c:v>
                </c:pt>
                <c:pt idx="42">
                  <c:v>0.06349206349206349</c:v>
                </c:pt>
                <c:pt idx="43">
                  <c:v>0.06349206349206349</c:v>
                </c:pt>
                <c:pt idx="44">
                  <c:v>0.06349206349206349</c:v>
                </c:pt>
                <c:pt idx="45">
                  <c:v>0.06349206349206349</c:v>
                </c:pt>
                <c:pt idx="46">
                  <c:v>0.06349206349206349</c:v>
                </c:pt>
                <c:pt idx="47">
                  <c:v>0.06349206349206349</c:v>
                </c:pt>
                <c:pt idx="48">
                  <c:v>0.06349206349206349</c:v>
                </c:pt>
                <c:pt idx="49">
                  <c:v>0.06349206349206349</c:v>
                </c:pt>
                <c:pt idx="50">
                  <c:v>0.06349206349206349</c:v>
                </c:pt>
                <c:pt idx="51">
                  <c:v>0.06349206349206349</c:v>
                </c:pt>
                <c:pt idx="52">
                  <c:v>0.06349206349206349</c:v>
                </c:pt>
                <c:pt idx="53">
                  <c:v>0.06349206349206349</c:v>
                </c:pt>
                <c:pt idx="54">
                  <c:v>0.06349206349206349</c:v>
                </c:pt>
                <c:pt idx="55">
                  <c:v>0.06349206349206349</c:v>
                </c:pt>
                <c:pt idx="56">
                  <c:v>0.06349206349206349</c:v>
                </c:pt>
                <c:pt idx="57">
                  <c:v>0.06349206349206349</c:v>
                </c:pt>
                <c:pt idx="58">
                  <c:v>0.06349206349206349</c:v>
                </c:pt>
                <c:pt idx="59">
                  <c:v>0.24685714285714286</c:v>
                </c:pt>
                <c:pt idx="60">
                  <c:v>0.06349206349206349</c:v>
                </c:pt>
                <c:pt idx="61">
                  <c:v>0.06349206349206349</c:v>
                </c:pt>
                <c:pt idx="62">
                  <c:v>0.06349206349206349</c:v>
                </c:pt>
                <c:pt idx="63">
                  <c:v>0.06349206349206349</c:v>
                </c:pt>
                <c:pt idx="64">
                  <c:v>0.06349206349206349</c:v>
                </c:pt>
                <c:pt idx="65">
                  <c:v>0.06349206349206349</c:v>
                </c:pt>
                <c:pt idx="66">
                  <c:v>0.06349206349206349</c:v>
                </c:pt>
                <c:pt idx="67">
                  <c:v>0.06349206349206349</c:v>
                </c:pt>
                <c:pt idx="68">
                  <c:v>0.06349206349206349</c:v>
                </c:pt>
                <c:pt idx="69">
                  <c:v>0.06349206349206349</c:v>
                </c:pt>
                <c:pt idx="70">
                  <c:v>0.06349206349206349</c:v>
                </c:pt>
                <c:pt idx="71">
                  <c:v>0.06349206349206349</c:v>
                </c:pt>
                <c:pt idx="72">
                  <c:v>0.06349206349206349</c:v>
                </c:pt>
                <c:pt idx="73">
                  <c:v>0.06349206349206349</c:v>
                </c:pt>
                <c:pt idx="74">
                  <c:v>0.06349206349206349</c:v>
                </c:pt>
                <c:pt idx="75">
                  <c:v>0.06349206349206349</c:v>
                </c:pt>
                <c:pt idx="76">
                  <c:v>0.06349206349206349</c:v>
                </c:pt>
                <c:pt idx="77">
                  <c:v>0.06349206349206349</c:v>
                </c:pt>
                <c:pt idx="78">
                  <c:v>0.06349206349206349</c:v>
                </c:pt>
                <c:pt idx="79">
                  <c:v>0.06349206349206349</c:v>
                </c:pt>
                <c:pt idx="80">
                  <c:v>0.06349206349206349</c:v>
                </c:pt>
                <c:pt idx="81">
                  <c:v>0.06349206349206349</c:v>
                </c:pt>
                <c:pt idx="82">
                  <c:v>0.06349206349206349</c:v>
                </c:pt>
                <c:pt idx="83">
                  <c:v>0.06349206349206349</c:v>
                </c:pt>
                <c:pt idx="84">
                  <c:v>0.06349206349206349</c:v>
                </c:pt>
                <c:pt idx="85">
                  <c:v>0.06349206349206349</c:v>
                </c:pt>
                <c:pt idx="86">
                  <c:v>0.06349206349206349</c:v>
                </c:pt>
                <c:pt idx="87">
                  <c:v>0.06349206349206349</c:v>
                </c:pt>
                <c:pt idx="88">
                  <c:v>0.06349206349206349</c:v>
                </c:pt>
                <c:pt idx="89">
                  <c:v>0.06349206349206349</c:v>
                </c:pt>
                <c:pt idx="90">
                  <c:v>0.06349206349206349</c:v>
                </c:pt>
                <c:pt idx="91">
                  <c:v>0.06349206349206349</c:v>
                </c:pt>
                <c:pt idx="92">
                  <c:v>0.06349206349206349</c:v>
                </c:pt>
                <c:pt idx="93">
                  <c:v>0.06349206349206349</c:v>
                </c:pt>
                <c:pt idx="94">
                  <c:v>0.06349206349206349</c:v>
                </c:pt>
                <c:pt idx="95">
                  <c:v>0.06349206349206349</c:v>
                </c:pt>
                <c:pt idx="96">
                  <c:v>0.06349206349206349</c:v>
                </c:pt>
                <c:pt idx="97">
                  <c:v>0.06349206349206349</c:v>
                </c:pt>
              </c:numCache>
            </c:numRef>
          </c:val>
          <c:smooth val="0"/>
        </c:ser>
        <c:marker val="1"/>
        <c:axId val="17696245"/>
        <c:axId val="25048478"/>
      </c:lineChart>
      <c:dateAx>
        <c:axId val="1769624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4847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504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624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DOC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625"/>
          <c:w val="0.921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data'!$Z$8:$Z$105</c:f>
              <c:numCache>
                <c:ptCount val="98"/>
                <c:pt idx="0">
                  <c:v>4.607</c:v>
                </c:pt>
                <c:pt idx="1">
                  <c:v>1.749</c:v>
                </c:pt>
                <c:pt idx="2">
                  <c:v>6.164</c:v>
                </c:pt>
                <c:pt idx="3">
                  <c:v>3.692</c:v>
                </c:pt>
                <c:pt idx="4">
                  <c:v>1.514</c:v>
                </c:pt>
                <c:pt idx="5">
                  <c:v>4.659</c:v>
                </c:pt>
                <c:pt idx="6">
                  <c:v>3.038</c:v>
                </c:pt>
                <c:pt idx="7">
                  <c:v>1.367</c:v>
                </c:pt>
                <c:pt idx="8">
                  <c:v>3.689</c:v>
                </c:pt>
                <c:pt idx="9">
                  <c:v>1</c:v>
                </c:pt>
                <c:pt idx="10">
                  <c:v>1.878</c:v>
                </c:pt>
                <c:pt idx="11">
                  <c:v>1.432</c:v>
                </c:pt>
                <c:pt idx="12">
                  <c:v>3.864</c:v>
                </c:pt>
                <c:pt idx="13">
                  <c:v>2.185</c:v>
                </c:pt>
                <c:pt idx="14">
                  <c:v>2.057</c:v>
                </c:pt>
                <c:pt idx="15">
                  <c:v>1.201</c:v>
                </c:pt>
                <c:pt idx="16">
                  <c:v>6.399</c:v>
                </c:pt>
                <c:pt idx="17">
                  <c:v>7.319</c:v>
                </c:pt>
                <c:pt idx="18">
                  <c:v>1.92</c:v>
                </c:pt>
                <c:pt idx="19">
                  <c:v>1.454</c:v>
                </c:pt>
                <c:pt idx="20">
                  <c:v>1.295</c:v>
                </c:pt>
                <c:pt idx="21">
                  <c:v>1.183</c:v>
                </c:pt>
                <c:pt idx="22">
                  <c:v>2.337</c:v>
                </c:pt>
                <c:pt idx="23">
                  <c:v>2.318</c:v>
                </c:pt>
                <c:pt idx="24">
                  <c:v>2.976</c:v>
                </c:pt>
                <c:pt idx="25">
                  <c:v>3.386</c:v>
                </c:pt>
                <c:pt idx="26">
                  <c:v>4.487</c:v>
                </c:pt>
                <c:pt idx="27">
                  <c:v>4.332</c:v>
                </c:pt>
                <c:pt idx="28">
                  <c:v>2.032</c:v>
                </c:pt>
                <c:pt idx="29">
                  <c:v>1.410647785573865</c:v>
                </c:pt>
                <c:pt idx="30">
                  <c:v>4.418004904675263</c:v>
                </c:pt>
                <c:pt idx="31">
                  <c:v>2.989</c:v>
                </c:pt>
                <c:pt idx="32">
                  <c:v>2.084</c:v>
                </c:pt>
                <c:pt idx="33">
                  <c:v>2.251</c:v>
                </c:pt>
                <c:pt idx="34">
                  <c:v>0.9697</c:v>
                </c:pt>
                <c:pt idx="35">
                  <c:v>3.887</c:v>
                </c:pt>
                <c:pt idx="36">
                  <c:v>1</c:v>
                </c:pt>
                <c:pt idx="37">
                  <c:v>10.1</c:v>
                </c:pt>
                <c:pt idx="38">
                  <c:v>4.9</c:v>
                </c:pt>
                <c:pt idx="39">
                  <c:v>10.8</c:v>
                </c:pt>
                <c:pt idx="40">
                  <c:v>2.4</c:v>
                </c:pt>
                <c:pt idx="41">
                  <c:v>3.8</c:v>
                </c:pt>
                <c:pt idx="42">
                  <c:v>2.729</c:v>
                </c:pt>
                <c:pt idx="43">
                  <c:v>1.5</c:v>
                </c:pt>
                <c:pt idx="44">
                  <c:v>1.3</c:v>
                </c:pt>
                <c:pt idx="45">
                  <c:v>2.251</c:v>
                </c:pt>
                <c:pt idx="46">
                  <c:v>2.6457000000000006</c:v>
                </c:pt>
                <c:pt idx="47">
                  <c:v>3.343</c:v>
                </c:pt>
                <c:pt idx="48">
                  <c:v>1.671</c:v>
                </c:pt>
                <c:pt idx="49">
                  <c:v>2.267</c:v>
                </c:pt>
                <c:pt idx="50">
                  <c:v>1.523</c:v>
                </c:pt>
                <c:pt idx="51">
                  <c:v>2.71</c:v>
                </c:pt>
                <c:pt idx="52">
                  <c:v>1.461</c:v>
                </c:pt>
                <c:pt idx="53">
                  <c:v>2.568</c:v>
                </c:pt>
                <c:pt idx="54">
                  <c:v>2.88</c:v>
                </c:pt>
                <c:pt idx="55">
                  <c:v>1.415</c:v>
                </c:pt>
                <c:pt idx="56">
                  <c:v>2.52</c:v>
                </c:pt>
                <c:pt idx="57">
                  <c:v>2.048</c:v>
                </c:pt>
                <c:pt idx="58">
                  <c:v>1.242</c:v>
                </c:pt>
                <c:pt idx="59">
                  <c:v>3.433</c:v>
                </c:pt>
                <c:pt idx="60">
                  <c:v>1.933</c:v>
                </c:pt>
                <c:pt idx="61">
                  <c:v>4.753</c:v>
                </c:pt>
                <c:pt idx="62">
                  <c:v>2.297</c:v>
                </c:pt>
                <c:pt idx="63">
                  <c:v>2.603</c:v>
                </c:pt>
                <c:pt idx="64">
                  <c:v>5.498</c:v>
                </c:pt>
                <c:pt idx="65">
                  <c:v>2.227</c:v>
                </c:pt>
                <c:pt idx="66">
                  <c:v>1.741</c:v>
                </c:pt>
                <c:pt idx="67">
                  <c:v>5.737</c:v>
                </c:pt>
                <c:pt idx="68">
                  <c:v>1.73</c:v>
                </c:pt>
                <c:pt idx="69">
                  <c:v>1.091</c:v>
                </c:pt>
                <c:pt idx="70">
                  <c:v>0.968</c:v>
                </c:pt>
                <c:pt idx="71">
                  <c:v>1.255</c:v>
                </c:pt>
                <c:pt idx="72">
                  <c:v>1.05</c:v>
                </c:pt>
                <c:pt idx="73">
                  <c:v>3.155</c:v>
                </c:pt>
                <c:pt idx="74">
                  <c:v>4.241</c:v>
                </c:pt>
                <c:pt idx="75">
                  <c:v>1.479</c:v>
                </c:pt>
                <c:pt idx="76">
                  <c:v>3.791</c:v>
                </c:pt>
                <c:pt idx="77">
                  <c:v>2.27</c:v>
                </c:pt>
                <c:pt idx="78">
                  <c:v>2.77</c:v>
                </c:pt>
                <c:pt idx="79">
                  <c:v>2.881</c:v>
                </c:pt>
                <c:pt idx="80">
                  <c:v>2.716</c:v>
                </c:pt>
                <c:pt idx="81">
                  <c:v>2.399</c:v>
                </c:pt>
                <c:pt idx="82">
                  <c:v>2.143</c:v>
                </c:pt>
                <c:pt idx="83">
                  <c:v>1.561</c:v>
                </c:pt>
                <c:pt idx="84">
                  <c:v>1.117</c:v>
                </c:pt>
                <c:pt idx="85">
                  <c:v>9.716</c:v>
                </c:pt>
                <c:pt idx="86">
                  <c:v>1.283</c:v>
                </c:pt>
                <c:pt idx="87">
                  <c:v>12.38</c:v>
                </c:pt>
                <c:pt idx="88">
                  <c:v>2.617</c:v>
                </c:pt>
                <c:pt idx="89">
                  <c:v>2.528</c:v>
                </c:pt>
                <c:pt idx="90">
                  <c:v>1.53</c:v>
                </c:pt>
                <c:pt idx="91">
                  <c:v>7.271</c:v>
                </c:pt>
                <c:pt idx="92">
                  <c:v>2.588</c:v>
                </c:pt>
                <c:pt idx="93">
                  <c:v>1.443</c:v>
                </c:pt>
                <c:pt idx="94">
                  <c:v>4.246</c:v>
                </c:pt>
                <c:pt idx="95">
                  <c:v>5.427</c:v>
                </c:pt>
                <c:pt idx="96">
                  <c:v>1.615</c:v>
                </c:pt>
                <c:pt idx="97">
                  <c:v>2.377</c:v>
                </c:pt>
              </c:numCache>
            </c:numRef>
          </c:val>
          <c:smooth val="0"/>
        </c:ser>
        <c:marker val="1"/>
        <c:axId val="24109711"/>
        <c:axId val="15660808"/>
      </c:lineChart>
      <c:dateAx>
        <c:axId val="2410971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6080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5660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9711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5
Fe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625"/>
          <c:w val="0.921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5 data'!$A$8:$A$105</c:f>
              <c:strCache>
                <c:ptCount val="98"/>
                <c:pt idx="0">
                  <c:v>38279</c:v>
                </c:pt>
                <c:pt idx="1">
                  <c:v>38295</c:v>
                </c:pt>
                <c:pt idx="2">
                  <c:v>38306</c:v>
                </c:pt>
                <c:pt idx="3">
                  <c:v>38321</c:v>
                </c:pt>
                <c:pt idx="4">
                  <c:v>38334</c:v>
                </c:pt>
                <c:pt idx="5">
                  <c:v>38349</c:v>
                </c:pt>
                <c:pt idx="6">
                  <c:v>38363</c:v>
                </c:pt>
                <c:pt idx="7">
                  <c:v>38377</c:v>
                </c:pt>
                <c:pt idx="8">
                  <c:v>38391</c:v>
                </c:pt>
                <c:pt idx="9">
                  <c:v>38405</c:v>
                </c:pt>
                <c:pt idx="10">
                  <c:v>38419</c:v>
                </c:pt>
                <c:pt idx="11">
                  <c:v>38433</c:v>
                </c:pt>
                <c:pt idx="12">
                  <c:v>38447</c:v>
                </c:pt>
                <c:pt idx="13">
                  <c:v>38461</c:v>
                </c:pt>
                <c:pt idx="14">
                  <c:v>38475</c:v>
                </c:pt>
                <c:pt idx="15">
                  <c:v>38489</c:v>
                </c:pt>
                <c:pt idx="16">
                  <c:v>38503</c:v>
                </c:pt>
                <c:pt idx="17">
                  <c:v>38517</c:v>
                </c:pt>
                <c:pt idx="18">
                  <c:v>38531</c:v>
                </c:pt>
                <c:pt idx="19">
                  <c:v>38545</c:v>
                </c:pt>
                <c:pt idx="20">
                  <c:v>38559</c:v>
                </c:pt>
                <c:pt idx="21">
                  <c:v>38573</c:v>
                </c:pt>
                <c:pt idx="22">
                  <c:v>38588</c:v>
                </c:pt>
                <c:pt idx="23">
                  <c:v>38601</c:v>
                </c:pt>
                <c:pt idx="24">
                  <c:v>38615</c:v>
                </c:pt>
                <c:pt idx="25">
                  <c:v>38643</c:v>
                </c:pt>
                <c:pt idx="26">
                  <c:v>38657</c:v>
                </c:pt>
                <c:pt idx="27">
                  <c:v>38670</c:v>
                </c:pt>
                <c:pt idx="28">
                  <c:v>38698</c:v>
                </c:pt>
                <c:pt idx="29">
                  <c:v>38726</c:v>
                </c:pt>
                <c:pt idx="30">
                  <c:v>38755</c:v>
                </c:pt>
                <c:pt idx="31">
                  <c:v>38810</c:v>
                </c:pt>
                <c:pt idx="32">
                  <c:v>38825</c:v>
                </c:pt>
                <c:pt idx="33">
                  <c:v>38840</c:v>
                </c:pt>
                <c:pt idx="34">
                  <c:v>38852</c:v>
                </c:pt>
                <c:pt idx="35">
                  <c:v>38866</c:v>
                </c:pt>
                <c:pt idx="36">
                  <c:v>38910</c:v>
                </c:pt>
                <c:pt idx="37">
                  <c:v>38966</c:v>
                </c:pt>
                <c:pt idx="38">
                  <c:v>38980</c:v>
                </c:pt>
                <c:pt idx="39">
                  <c:v>39021</c:v>
                </c:pt>
                <c:pt idx="40">
                  <c:v>39126</c:v>
                </c:pt>
                <c:pt idx="41">
                  <c:v>39139</c:v>
                </c:pt>
                <c:pt idx="42">
                  <c:v>39168</c:v>
                </c:pt>
                <c:pt idx="43">
                  <c:v>39182</c:v>
                </c:pt>
                <c:pt idx="44">
                  <c:v>39196</c:v>
                </c:pt>
                <c:pt idx="45">
                  <c:v>39223</c:v>
                </c:pt>
                <c:pt idx="46">
                  <c:v>39252</c:v>
                </c:pt>
                <c:pt idx="47">
                  <c:v>39293</c:v>
                </c:pt>
                <c:pt idx="48">
                  <c:v>39329</c:v>
                </c:pt>
                <c:pt idx="49">
                  <c:v>39349</c:v>
                </c:pt>
                <c:pt idx="50">
                  <c:v>39364</c:v>
                </c:pt>
                <c:pt idx="51">
                  <c:v>39428</c:v>
                </c:pt>
                <c:pt idx="52">
                  <c:v>39497</c:v>
                </c:pt>
                <c:pt idx="53">
                  <c:v>39510</c:v>
                </c:pt>
                <c:pt idx="54">
                  <c:v>39524</c:v>
                </c:pt>
                <c:pt idx="55">
                  <c:v>39535</c:v>
                </c:pt>
                <c:pt idx="56">
                  <c:v>39553</c:v>
                </c:pt>
                <c:pt idx="57">
                  <c:v>39575</c:v>
                </c:pt>
                <c:pt idx="58">
                  <c:v>39602</c:v>
                </c:pt>
                <c:pt idx="59">
                  <c:v>39637</c:v>
                </c:pt>
                <c:pt idx="60">
                  <c:v>39693</c:v>
                </c:pt>
                <c:pt idx="61">
                  <c:v>39706</c:v>
                </c:pt>
                <c:pt idx="62">
                  <c:v>39721</c:v>
                </c:pt>
                <c:pt idx="63">
                  <c:v>39735</c:v>
                </c:pt>
                <c:pt idx="64">
                  <c:v>39757</c:v>
                </c:pt>
                <c:pt idx="65">
                  <c:v>39840</c:v>
                </c:pt>
                <c:pt idx="66">
                  <c:v>39875</c:v>
                </c:pt>
                <c:pt idx="67">
                  <c:v>39899</c:v>
                </c:pt>
                <c:pt idx="68">
                  <c:v>39910</c:v>
                </c:pt>
                <c:pt idx="69">
                  <c:v>39924</c:v>
                </c:pt>
                <c:pt idx="70">
                  <c:v>39937</c:v>
                </c:pt>
                <c:pt idx="71">
                  <c:v>39951</c:v>
                </c:pt>
                <c:pt idx="72">
                  <c:v>39966</c:v>
                </c:pt>
                <c:pt idx="73">
                  <c:v>40049</c:v>
                </c:pt>
                <c:pt idx="74">
                  <c:v>40063</c:v>
                </c:pt>
                <c:pt idx="75">
                  <c:v>40078</c:v>
                </c:pt>
                <c:pt idx="76">
                  <c:v>40091</c:v>
                </c:pt>
                <c:pt idx="77">
                  <c:v>40106</c:v>
                </c:pt>
                <c:pt idx="78">
                  <c:v>40128</c:v>
                </c:pt>
                <c:pt idx="79">
                  <c:v>40226</c:v>
                </c:pt>
                <c:pt idx="80">
                  <c:v>40266</c:v>
                </c:pt>
                <c:pt idx="81">
                  <c:v>40280</c:v>
                </c:pt>
                <c:pt idx="82">
                  <c:v>40295</c:v>
                </c:pt>
                <c:pt idx="83">
                  <c:v>40308</c:v>
                </c:pt>
                <c:pt idx="84">
                  <c:v>40322</c:v>
                </c:pt>
                <c:pt idx="85">
                  <c:v>40336</c:v>
                </c:pt>
                <c:pt idx="86">
                  <c:v>40364</c:v>
                </c:pt>
                <c:pt idx="87">
                  <c:v>40399</c:v>
                </c:pt>
                <c:pt idx="88">
                  <c:v>40423</c:v>
                </c:pt>
                <c:pt idx="89">
                  <c:v>40449</c:v>
                </c:pt>
                <c:pt idx="90">
                  <c:v>40469</c:v>
                </c:pt>
                <c:pt idx="91">
                  <c:v>40491</c:v>
                </c:pt>
                <c:pt idx="92">
                  <c:v>40526</c:v>
                </c:pt>
                <c:pt idx="93">
                  <c:v>40555</c:v>
                </c:pt>
                <c:pt idx="94">
                  <c:v>40575</c:v>
                </c:pt>
                <c:pt idx="95">
                  <c:v>40597</c:v>
                </c:pt>
                <c:pt idx="96">
                  <c:v>40618</c:v>
                </c:pt>
                <c:pt idx="97">
                  <c:v>40631</c:v>
                </c:pt>
              </c:strCache>
            </c:strRef>
          </c:cat>
          <c:val>
            <c:numRef>
              <c:f>'Stream gauge 5 data'!$AE$8:$AE$105</c:f>
              <c:numCache>
                <c:ptCount val="98"/>
                <c:pt idx="0">
                  <c:v>0.6785714285714286</c:v>
                </c:pt>
                <c:pt idx="1">
                  <c:v>0.2142857142857143</c:v>
                </c:pt>
                <c:pt idx="2">
                  <c:v>1.2857142857142856</c:v>
                </c:pt>
                <c:pt idx="3">
                  <c:v>0.2142857142857143</c:v>
                </c:pt>
                <c:pt idx="4">
                  <c:v>0.2142857142857143</c:v>
                </c:pt>
                <c:pt idx="5">
                  <c:v>0.6321428571428571</c:v>
                </c:pt>
                <c:pt idx="6">
                  <c:v>0.2142857142857143</c:v>
                </c:pt>
                <c:pt idx="7">
                  <c:v>0.2142857142857143</c:v>
                </c:pt>
                <c:pt idx="8">
                  <c:v>0.7178571428571427</c:v>
                </c:pt>
                <c:pt idx="9">
                  <c:v>0.25</c:v>
                </c:pt>
                <c:pt idx="10">
                  <c:v>0.3</c:v>
                </c:pt>
                <c:pt idx="11">
                  <c:v>0.2142857142857143</c:v>
                </c:pt>
                <c:pt idx="12">
                  <c:v>0.7107142857142857</c:v>
                </c:pt>
                <c:pt idx="13">
                  <c:v>0.25357142857142856</c:v>
                </c:pt>
                <c:pt idx="14">
                  <c:v>0.4035714285714285</c:v>
                </c:pt>
                <c:pt idx="15">
                  <c:v>0.3</c:v>
                </c:pt>
                <c:pt idx="16">
                  <c:v>1.1321428571428571</c:v>
                </c:pt>
                <c:pt idx="17">
                  <c:v>1.407142857142857</c:v>
                </c:pt>
                <c:pt idx="18">
                  <c:v>0.2142857142857143</c:v>
                </c:pt>
                <c:pt idx="19">
                  <c:v>0.2142857142857143</c:v>
                </c:pt>
                <c:pt idx="20">
                  <c:v>0.2142857142857143</c:v>
                </c:pt>
                <c:pt idx="21">
                  <c:v>0.2142857142857143</c:v>
                </c:pt>
                <c:pt idx="22">
                  <c:v>0.2142857142857143</c:v>
                </c:pt>
                <c:pt idx="23">
                  <c:v>0.3678571428571429</c:v>
                </c:pt>
                <c:pt idx="24">
                  <c:v>0.2142857142857143</c:v>
                </c:pt>
                <c:pt idx="25">
                  <c:v>0.4785714285714286</c:v>
                </c:pt>
                <c:pt idx="26">
                  <c:v>0.7714285714285715</c:v>
                </c:pt>
                <c:pt idx="27">
                  <c:v>0.5178571428571429</c:v>
                </c:pt>
                <c:pt idx="28">
                  <c:v>0.2142857142857143</c:v>
                </c:pt>
                <c:pt idx="29">
                  <c:v>0.24642857142857144</c:v>
                </c:pt>
                <c:pt idx="30">
                  <c:v>0.2142857142857143</c:v>
                </c:pt>
                <c:pt idx="31">
                  <c:v>0.5821428571428572</c:v>
                </c:pt>
                <c:pt idx="32">
                  <c:v>0.2142857142857143</c:v>
                </c:pt>
                <c:pt idx="33">
                  <c:v>0.2142857142857143</c:v>
                </c:pt>
                <c:pt idx="34">
                  <c:v>0.2142857142857143</c:v>
                </c:pt>
                <c:pt idx="35">
                  <c:v>0.6428571428571428</c:v>
                </c:pt>
                <c:pt idx="36">
                  <c:v>0.2142857142857143</c:v>
                </c:pt>
                <c:pt idx="37">
                  <c:v>1.9285714285714286</c:v>
                </c:pt>
                <c:pt idx="38">
                  <c:v>0.6071428571428572</c:v>
                </c:pt>
                <c:pt idx="39">
                  <c:v>2.1892857142857145</c:v>
                </c:pt>
                <c:pt idx="40">
                  <c:v>0.3214285714285714</c:v>
                </c:pt>
                <c:pt idx="41">
                  <c:v>0.6071428571428572</c:v>
                </c:pt>
                <c:pt idx="42">
                  <c:v>0.9214285714285714</c:v>
                </c:pt>
                <c:pt idx="43">
                  <c:v>0.26071428571428573</c:v>
                </c:pt>
                <c:pt idx="44">
                  <c:v>0.225</c:v>
                </c:pt>
                <c:pt idx="45">
                  <c:v>0.7489285714285714</c:v>
                </c:pt>
                <c:pt idx="46">
                  <c:v>0.2142857142857143</c:v>
                </c:pt>
                <c:pt idx="47">
                  <c:v>0.5967857142857143</c:v>
                </c:pt>
                <c:pt idx="48">
                  <c:v>0.32403571428571426</c:v>
                </c:pt>
                <c:pt idx="49">
                  <c:v>0.6303571428571428</c:v>
                </c:pt>
                <c:pt idx="50">
                  <c:v>0.415</c:v>
                </c:pt>
                <c:pt idx="51">
                  <c:v>0.5849999999999999</c:v>
                </c:pt>
                <c:pt idx="52">
                  <c:v>0.2142857142857143</c:v>
                </c:pt>
                <c:pt idx="53">
                  <c:v>0.21667857142857144</c:v>
                </c:pt>
                <c:pt idx="54">
                  <c:v>0.25175</c:v>
                </c:pt>
                <c:pt idx="55">
                  <c:v>0.2142857142857143</c:v>
                </c:pt>
                <c:pt idx="56">
                  <c:v>0.2142857142857143</c:v>
                </c:pt>
                <c:pt idx="57">
                  <c:v>0.2142857142857143</c:v>
                </c:pt>
                <c:pt idx="58">
                  <c:v>0.2142857142857143</c:v>
                </c:pt>
                <c:pt idx="59">
                  <c:v>0.5639285714285713</c:v>
                </c:pt>
                <c:pt idx="60">
                  <c:v>1.470357142857143</c:v>
                </c:pt>
                <c:pt idx="61">
                  <c:v>2.545714285714286</c:v>
                </c:pt>
                <c:pt idx="62">
                  <c:v>1.3071428571428572</c:v>
                </c:pt>
                <c:pt idx="63">
                  <c:v>0.2142857142857143</c:v>
                </c:pt>
                <c:pt idx="64">
                  <c:v>1.7353571428571428</c:v>
                </c:pt>
                <c:pt idx="65">
                  <c:v>0.2142857142857143</c:v>
                </c:pt>
                <c:pt idx="66">
                  <c:v>0.2142857142857143</c:v>
                </c:pt>
                <c:pt idx="67">
                  <c:v>1.6414285714285715</c:v>
                </c:pt>
                <c:pt idx="68">
                  <c:v>0.2142857142857143</c:v>
                </c:pt>
                <c:pt idx="69">
                  <c:v>0.2142857142857143</c:v>
                </c:pt>
                <c:pt idx="70">
                  <c:v>0.2142857142857143</c:v>
                </c:pt>
                <c:pt idx="71">
                  <c:v>0.2142857142857143</c:v>
                </c:pt>
                <c:pt idx="72">
                  <c:v>0.2142857142857143</c:v>
                </c:pt>
                <c:pt idx="73">
                  <c:v>0.2142857142857143</c:v>
                </c:pt>
                <c:pt idx="74">
                  <c:v>0.2142857142857143</c:v>
                </c:pt>
                <c:pt idx="75">
                  <c:v>0.2142857142857143</c:v>
                </c:pt>
                <c:pt idx="76">
                  <c:v>0.2142857142857143</c:v>
                </c:pt>
                <c:pt idx="77">
                  <c:v>0.2142857142857143</c:v>
                </c:pt>
                <c:pt idx="78">
                  <c:v>0.2142857142857143</c:v>
                </c:pt>
                <c:pt idx="79">
                  <c:v>0.2142857142857143</c:v>
                </c:pt>
                <c:pt idx="80">
                  <c:v>0.2142857142857143</c:v>
                </c:pt>
                <c:pt idx="81">
                  <c:v>1.2392857142857143</c:v>
                </c:pt>
                <c:pt idx="82">
                  <c:v>0.2142857142857143</c:v>
                </c:pt>
                <c:pt idx="83">
                  <c:v>0.2142857142857143</c:v>
                </c:pt>
                <c:pt idx="84">
                  <c:v>0.2142857142857143</c:v>
                </c:pt>
                <c:pt idx="85">
                  <c:v>2.6485714285714286</c:v>
                </c:pt>
                <c:pt idx="86">
                  <c:v>0.2142857142857143</c:v>
                </c:pt>
                <c:pt idx="87">
                  <c:v>4.292857142857143</c:v>
                </c:pt>
                <c:pt idx="88">
                  <c:v>0.2142857142857143</c:v>
                </c:pt>
                <c:pt idx="89">
                  <c:v>1.6157142857142859</c:v>
                </c:pt>
                <c:pt idx="90">
                  <c:v>0.2142857142857143</c:v>
                </c:pt>
                <c:pt idx="91">
                  <c:v>0.2142857142857143</c:v>
                </c:pt>
                <c:pt idx="92">
                  <c:v>0.2142857142857143</c:v>
                </c:pt>
                <c:pt idx="93">
                  <c:v>0.2142857142857143</c:v>
                </c:pt>
                <c:pt idx="94">
                  <c:v>0.2142857142857143</c:v>
                </c:pt>
                <c:pt idx="95">
                  <c:v>0.2142857142857143</c:v>
                </c:pt>
                <c:pt idx="96">
                  <c:v>0.2142857142857143</c:v>
                </c:pt>
                <c:pt idx="97">
                  <c:v>0.2142857142857143</c:v>
                </c:pt>
              </c:numCache>
            </c:numRef>
          </c:val>
          <c:smooth val="0"/>
        </c:ser>
        <c:marker val="1"/>
        <c:axId val="6729545"/>
        <c:axId val="60565906"/>
      </c:lineChart>
      <c:dateAx>
        <c:axId val="672954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65906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0565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29545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2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4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5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3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4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12</xdr:row>
      <xdr:rowOff>152400</xdr:rowOff>
    </xdr:from>
    <xdr:to>
      <xdr:col>14</xdr:col>
      <xdr:colOff>257175</xdr:colOff>
      <xdr:row>37</xdr:row>
      <xdr:rowOff>76200</xdr:rowOff>
    </xdr:to>
    <xdr:graphicFrame>
      <xdr:nvGraphicFramePr>
        <xdr:cNvPr id="1" name="Chart 2"/>
        <xdr:cNvGraphicFramePr/>
      </xdr:nvGraphicFramePr>
      <xdr:xfrm>
        <a:off x="2895600" y="209550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2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104775</xdr:rowOff>
    </xdr:from>
    <xdr:to>
      <xdr:col>14</xdr:col>
      <xdr:colOff>295275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2933700" y="2047875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11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2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12</xdr:row>
      <xdr:rowOff>66675</xdr:rowOff>
    </xdr:from>
    <xdr:to>
      <xdr:col>14</xdr:col>
      <xdr:colOff>257175</xdr:colOff>
      <xdr:row>36</xdr:row>
      <xdr:rowOff>152400</xdr:rowOff>
    </xdr:to>
    <xdr:graphicFrame>
      <xdr:nvGraphicFramePr>
        <xdr:cNvPr id="1" name="Chart 1025"/>
        <xdr:cNvGraphicFramePr/>
      </xdr:nvGraphicFramePr>
      <xdr:xfrm>
        <a:off x="2895600" y="2009775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12</xdr:row>
      <xdr:rowOff>28575</xdr:rowOff>
    </xdr:from>
    <xdr:to>
      <xdr:col>14</xdr:col>
      <xdr:colOff>276225</xdr:colOff>
      <xdr:row>36</xdr:row>
      <xdr:rowOff>114300</xdr:rowOff>
    </xdr:to>
    <xdr:graphicFrame>
      <xdr:nvGraphicFramePr>
        <xdr:cNvPr id="1" name="Chart 2"/>
        <xdr:cNvGraphicFramePr/>
      </xdr:nvGraphicFramePr>
      <xdr:xfrm>
        <a:off x="2914650" y="1971675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0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harcaidh%20Montane%20Project(302372)\Mharcaidh%20Montane%20Water%20Chemis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th October'04"/>
      <sheetName val="16th November'04"/>
      <sheetName val="14th December'04"/>
      <sheetName val="25th January'05"/>
      <sheetName val="8th Feb'05"/>
      <sheetName val="8th March'05"/>
      <sheetName val="22nd March'05"/>
      <sheetName val="5th April'05"/>
      <sheetName val="19th April'05"/>
      <sheetName val="5th May'05"/>
      <sheetName val="17th May'05"/>
      <sheetName val="30th May'05"/>
      <sheetName val="27th June'05"/>
      <sheetName val="7th July'05"/>
      <sheetName val="26th July'05"/>
      <sheetName val="23rd Aug'05"/>
      <sheetName val="6th Sept'05"/>
      <sheetName val="20th Sept'05"/>
      <sheetName val="18th Oct'05"/>
      <sheetName val="1st Nov'05"/>
      <sheetName val="15th Nov'05"/>
      <sheetName val="13th Dec'05"/>
      <sheetName val="10th Jan'06"/>
      <sheetName val="7th Feb'06"/>
      <sheetName val="3rd April'06"/>
      <sheetName val="19th April'06"/>
      <sheetName val="4th May'06"/>
      <sheetName val="16th May'06"/>
      <sheetName val="30th May'06"/>
      <sheetName val="12th July'06"/>
      <sheetName val="5th Sept'06"/>
      <sheetName val="20th Sept'06"/>
      <sheetName val="31st Oct'06"/>
      <sheetName val="13th Feb'07"/>
      <sheetName val="27th Feb'07"/>
      <sheetName val="27th March'07"/>
      <sheetName val="10th April'07"/>
      <sheetName val="24th April'07"/>
      <sheetName val="22nd May'07"/>
      <sheetName val="19th June'07"/>
      <sheetName val="30th July'07"/>
      <sheetName val="4th Sept'07"/>
      <sheetName val="25th Sept'07"/>
      <sheetName val="9th Oct'07"/>
      <sheetName val="12th Dec'07"/>
      <sheetName val="19th Feb'08"/>
      <sheetName val="4th March'08"/>
      <sheetName val="18th March'08"/>
      <sheetName val="28th March'08"/>
      <sheetName val="15th April'08"/>
      <sheetName val="7th May'08"/>
      <sheetName val="2nd June'08"/>
      <sheetName val="8th July'08"/>
      <sheetName val="2nd Sept'08"/>
      <sheetName val="16th Sept'08"/>
      <sheetName val="30th Sept'08"/>
      <sheetName val="14thOct'08"/>
      <sheetName val="5thNov'08"/>
      <sheetName val="27thJan'09"/>
      <sheetName val="3rdMarch'09"/>
      <sheetName val="27th March'09"/>
      <sheetName val="7th April'09"/>
      <sheetName val="22ndApril'09"/>
      <sheetName val="5thMay'09"/>
      <sheetName val="19thMay'09 to 11thNov'09"/>
      <sheetName val="17th Feb to 14thDec'10"/>
      <sheetName val="12thJan'11 to 29thMar'11"/>
      <sheetName val="RG2&amp;5&amp;FG2&amp;5andSnowsummary"/>
      <sheetName val="Organic summary data"/>
      <sheetName val="Mineral summary data"/>
      <sheetName val="Org&amp;Mineral meaned data &amp;charts"/>
      <sheetName val="Detection Limits"/>
      <sheetName val="Spring(Allt Geal-Charn)"/>
      <sheetName val="comparison of Total N"/>
      <sheetName val="Codes"/>
      <sheetName val="25th Jan comparison pH's"/>
      <sheetName val="Sheet1"/>
      <sheetName val="setup"/>
      <sheetName val="RG&amp;FG2&amp;5and Snowsummary"/>
    </sheetNames>
    <sheetDataSet>
      <sheetData sheetId="77">
        <row r="13">
          <cell r="B13">
            <v>0.0006</v>
          </cell>
        </row>
        <row r="14">
          <cell r="B14">
            <v>0.05721715256108241</v>
          </cell>
        </row>
        <row r="15">
          <cell r="B15">
            <v>3.453952113153364E-07</v>
          </cell>
        </row>
        <row r="19">
          <cell r="D19">
            <v>100000000</v>
          </cell>
        </row>
        <row r="20">
          <cell r="D20">
            <v>3.2257691829276077E-06</v>
          </cell>
        </row>
        <row r="21">
          <cell r="D21">
            <v>8.772099694434585E-12</v>
          </cell>
        </row>
        <row r="22">
          <cell r="D22">
            <v>830.6478373615398</v>
          </cell>
        </row>
        <row r="26">
          <cell r="C26">
            <v>0.0009120108393559087</v>
          </cell>
        </row>
        <row r="27">
          <cell r="C27">
            <v>3.090295432513586E-05</v>
          </cell>
        </row>
        <row r="28">
          <cell r="C28">
            <v>3.467368504525315E-07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06"/>
  <sheetViews>
    <sheetView zoomScalePageLayoutView="0" workbookViewId="0" topLeftCell="A1">
      <pane ySplit="1695" topLeftCell="A76" activePane="bottomLeft" state="split"/>
      <selection pane="topLeft" activeCell="E109" sqref="E109"/>
      <selection pane="bottomLeft" activeCell="J111" sqref="J111"/>
    </sheetView>
  </sheetViews>
  <sheetFormatPr defaultColWidth="9.140625" defaultRowHeight="12.75"/>
  <cols>
    <col min="1" max="1" width="9.8515625" style="1" bestFit="1" customWidth="1"/>
    <col min="2" max="2" width="11.28125" style="37" customWidth="1"/>
    <col min="3" max="3" width="12.421875" style="0" bestFit="1" customWidth="1"/>
    <col min="4" max="4" width="10.57421875" style="0" bestFit="1" customWidth="1"/>
    <col min="5" max="5" width="9.7109375" style="0" bestFit="1" customWidth="1"/>
    <col min="6" max="6" width="9.28125" style="16" customWidth="1"/>
    <col min="7" max="7" width="10.140625" style="0" bestFit="1" customWidth="1"/>
    <col min="8" max="26" width="9.28125" style="0" bestFit="1" customWidth="1"/>
    <col min="27" max="27" width="15.140625" style="0" bestFit="1" customWidth="1"/>
    <col min="28" max="28" width="11.00390625" style="1" bestFit="1" customWidth="1"/>
    <col min="29" max="29" width="17.57421875" style="0" bestFit="1" customWidth="1"/>
    <col min="30" max="48" width="9.28125" style="0" customWidth="1"/>
    <col min="49" max="49" width="15.140625" style="0" bestFit="1" customWidth="1"/>
    <col min="50" max="50" width="17.57421875" style="0" bestFit="1" customWidth="1"/>
    <col min="51" max="51" width="17.57421875" style="0" customWidth="1"/>
    <col min="52" max="52" width="17.7109375" style="0" bestFit="1" customWidth="1"/>
    <col min="62" max="63" width="10.57421875" style="0" bestFit="1" customWidth="1"/>
    <col min="65" max="65" width="11.57421875" style="0" bestFit="1" customWidth="1"/>
    <col min="66" max="66" width="11.57421875" style="0" customWidth="1"/>
    <col min="67" max="67" width="12.8515625" style="0" bestFit="1" customWidth="1"/>
    <col min="68" max="68" width="12.28125" style="0" bestFit="1" customWidth="1"/>
    <col min="69" max="72" width="11.57421875" style="0" customWidth="1"/>
    <col min="74" max="74" width="10.57421875" style="0" bestFit="1" customWidth="1"/>
    <col min="88" max="88" width="15.140625" style="0" bestFit="1" customWidth="1"/>
    <col min="89" max="89" width="11.00390625" style="0" bestFit="1" customWidth="1"/>
    <col min="90" max="90" width="17.57421875" style="0" bestFit="1" customWidth="1"/>
    <col min="91" max="91" width="9.00390625" style="0" customWidth="1"/>
    <col min="92" max="92" width="21.140625" style="0" bestFit="1" customWidth="1"/>
  </cols>
  <sheetData>
    <row r="1" spans="1:64" ht="15.75">
      <c r="A1" s="36" t="s">
        <v>25</v>
      </c>
      <c r="F1" s="38"/>
      <c r="G1" s="39"/>
      <c r="H1" s="39"/>
      <c r="I1" s="39"/>
      <c r="J1" s="40"/>
      <c r="K1" s="40"/>
      <c r="Y1" s="41"/>
      <c r="Z1" s="42" t="s">
        <v>26</v>
      </c>
      <c r="BB1" s="20" t="s">
        <v>27</v>
      </c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3" ht="15">
      <c r="A2" s="99" t="s">
        <v>69</v>
      </c>
      <c r="F2" s="19"/>
      <c r="G2" s="34"/>
      <c r="H2" s="34"/>
      <c r="I2" s="34"/>
      <c r="J2" s="34"/>
      <c r="K2" s="19"/>
      <c r="L2" s="34"/>
      <c r="Q2" s="44"/>
      <c r="R2" s="44"/>
      <c r="S2" s="44"/>
      <c r="T2" s="44"/>
      <c r="Y2" s="41"/>
      <c r="Z2" s="45" t="s">
        <v>28</v>
      </c>
      <c r="AD2" s="46"/>
      <c r="BA2" s="39"/>
      <c r="BB2" s="47"/>
      <c r="BC2" s="47"/>
      <c r="BD2" s="47"/>
      <c r="BE2" s="27"/>
      <c r="BF2" s="27"/>
      <c r="BG2" s="27"/>
      <c r="BH2" s="27"/>
      <c r="BI2" s="27"/>
      <c r="BJ2" s="27"/>
      <c r="BK2" s="27"/>
    </row>
    <row r="3" spans="3:63" ht="12.75">
      <c r="C3" s="15"/>
      <c r="F3" s="39"/>
      <c r="G3" s="48"/>
      <c r="I3" s="49"/>
      <c r="K3" s="50"/>
      <c r="M3" s="49"/>
      <c r="N3" s="49"/>
      <c r="AA3" s="13"/>
      <c r="AI3" s="27"/>
      <c r="AJ3" s="27"/>
      <c r="AK3" s="27"/>
      <c r="AL3" s="27"/>
      <c r="AM3" s="27"/>
      <c r="AN3" s="27"/>
      <c r="AO3" s="27"/>
      <c r="BA3" s="51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1:188" s="57" customFormat="1" ht="15.75">
      <c r="A4" s="3" t="s">
        <v>16</v>
      </c>
      <c r="B4" s="52" t="s">
        <v>22</v>
      </c>
      <c r="C4" s="53" t="s">
        <v>29</v>
      </c>
      <c r="D4" s="54" t="s">
        <v>30</v>
      </c>
      <c r="E4" s="54" t="s">
        <v>31</v>
      </c>
      <c r="F4" s="55" t="s">
        <v>0</v>
      </c>
      <c r="G4" s="55" t="s">
        <v>1</v>
      </c>
      <c r="H4" s="55" t="s">
        <v>2</v>
      </c>
      <c r="I4" s="55" t="s">
        <v>3</v>
      </c>
      <c r="J4" s="55" t="s">
        <v>32</v>
      </c>
      <c r="K4" s="55" t="s">
        <v>33</v>
      </c>
      <c r="L4" s="55" t="s">
        <v>34</v>
      </c>
      <c r="M4" s="55" t="s">
        <v>4</v>
      </c>
      <c r="N4" s="55" t="s">
        <v>5</v>
      </c>
      <c r="O4" s="55" t="s">
        <v>6</v>
      </c>
      <c r="P4" s="55" t="s">
        <v>7</v>
      </c>
      <c r="Q4" s="55" t="s">
        <v>35</v>
      </c>
      <c r="R4" s="55" t="s">
        <v>8</v>
      </c>
      <c r="S4" s="55" t="s">
        <v>9</v>
      </c>
      <c r="T4" s="55" t="s">
        <v>10</v>
      </c>
      <c r="U4" s="3" t="s">
        <v>11</v>
      </c>
      <c r="V4" s="55" t="s">
        <v>12</v>
      </c>
      <c r="W4" s="22" t="s">
        <v>13</v>
      </c>
      <c r="X4" s="55" t="s">
        <v>14</v>
      </c>
      <c r="Y4" s="55" t="s">
        <v>15</v>
      </c>
      <c r="Z4" s="56" t="s">
        <v>23</v>
      </c>
      <c r="AA4" s="22" t="s">
        <v>36</v>
      </c>
      <c r="AB4" s="7" t="s">
        <v>37</v>
      </c>
      <c r="AC4" s="22" t="s">
        <v>38</v>
      </c>
      <c r="AD4" s="14" t="s">
        <v>113</v>
      </c>
      <c r="AE4" s="55" t="s">
        <v>0</v>
      </c>
      <c r="AF4" s="55" t="s">
        <v>1</v>
      </c>
      <c r="AG4" s="55" t="s">
        <v>2</v>
      </c>
      <c r="AH4" s="55" t="s">
        <v>3</v>
      </c>
      <c r="AI4" s="55" t="s">
        <v>32</v>
      </c>
      <c r="AJ4" s="55" t="s">
        <v>33</v>
      </c>
      <c r="AK4" s="55" t="s">
        <v>34</v>
      </c>
      <c r="AL4" s="55" t="s">
        <v>4</v>
      </c>
      <c r="AM4" s="55" t="s">
        <v>5</v>
      </c>
      <c r="AN4" s="55" t="s">
        <v>6</v>
      </c>
      <c r="AO4" s="55" t="s">
        <v>7</v>
      </c>
      <c r="AP4" s="55" t="s">
        <v>35</v>
      </c>
      <c r="AQ4" s="55" t="s">
        <v>8</v>
      </c>
      <c r="AR4" s="55" t="s">
        <v>17</v>
      </c>
      <c r="AS4" s="55" t="s">
        <v>12</v>
      </c>
      <c r="AT4" s="22" t="s">
        <v>13</v>
      </c>
      <c r="AU4" s="55" t="s">
        <v>14</v>
      </c>
      <c r="AV4" s="55" t="s">
        <v>15</v>
      </c>
      <c r="AW4" s="22" t="s">
        <v>36</v>
      </c>
      <c r="AX4" s="7" t="s">
        <v>37</v>
      </c>
      <c r="AY4" s="22" t="s">
        <v>38</v>
      </c>
      <c r="AZ4" s="22" t="s">
        <v>19</v>
      </c>
      <c r="BC4" s="58" t="s">
        <v>39</v>
      </c>
      <c r="BD4" s="59" t="s">
        <v>40</v>
      </c>
      <c r="BE4" s="60"/>
      <c r="BF4" s="61"/>
      <c r="BG4" s="62"/>
      <c r="BH4" s="62"/>
      <c r="BI4" s="58" t="s">
        <v>39</v>
      </c>
      <c r="BJ4" s="58"/>
      <c r="BK4" s="63" t="s">
        <v>40</v>
      </c>
      <c r="BL4" s="63"/>
      <c r="BM4" s="64" t="s">
        <v>41</v>
      </c>
      <c r="BO4" s="53" t="s">
        <v>108</v>
      </c>
      <c r="BP4" s="53" t="s">
        <v>109</v>
      </c>
      <c r="BQ4" s="10" t="s">
        <v>110</v>
      </c>
      <c r="BR4" s="14" t="s">
        <v>111</v>
      </c>
      <c r="BS4" s="14" t="s">
        <v>112</v>
      </c>
      <c r="BT4" s="64"/>
      <c r="BU4" s="3"/>
      <c r="BV4" s="3" t="s">
        <v>42</v>
      </c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53" t="s">
        <v>108</v>
      </c>
      <c r="CI4" s="53" t="s">
        <v>109</v>
      </c>
      <c r="CJ4" s="10" t="s">
        <v>110</v>
      </c>
      <c r="CK4" s="14" t="s">
        <v>111</v>
      </c>
      <c r="CL4" s="14" t="s">
        <v>112</v>
      </c>
      <c r="CM4" s="22"/>
      <c r="CN4" s="22"/>
      <c r="CO4" s="3"/>
      <c r="CP4" s="65"/>
      <c r="CQ4" s="55"/>
      <c r="CR4" s="58"/>
      <c r="CS4" s="58"/>
      <c r="CT4" s="66"/>
      <c r="CU4" s="66"/>
      <c r="CV4" s="58"/>
      <c r="CW4" s="67"/>
      <c r="CX4" s="64"/>
      <c r="CY4" s="68"/>
      <c r="CZ4" s="64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</row>
    <row r="5" spans="2:188" s="3" customFormat="1" ht="14.25">
      <c r="B5" s="17"/>
      <c r="D5" s="54"/>
      <c r="E5" s="54" t="s">
        <v>43</v>
      </c>
      <c r="F5" s="55" t="s">
        <v>20</v>
      </c>
      <c r="G5" s="55" t="s">
        <v>20</v>
      </c>
      <c r="H5" s="55" t="s">
        <v>44</v>
      </c>
      <c r="I5" s="55" t="s">
        <v>44</v>
      </c>
      <c r="J5" s="55" t="s">
        <v>24</v>
      </c>
      <c r="K5" s="55" t="s">
        <v>24</v>
      </c>
      <c r="L5" s="55" t="s">
        <v>24</v>
      </c>
      <c r="M5" s="55" t="s">
        <v>24</v>
      </c>
      <c r="N5" s="55" t="s">
        <v>24</v>
      </c>
      <c r="O5" s="55" t="s">
        <v>24</v>
      </c>
      <c r="P5" s="55" t="s">
        <v>24</v>
      </c>
      <c r="Q5" s="55" t="s">
        <v>24</v>
      </c>
      <c r="R5" s="55" t="s">
        <v>24</v>
      </c>
      <c r="S5" s="55"/>
      <c r="T5" s="69" t="s">
        <v>45</v>
      </c>
      <c r="U5" s="55" t="s">
        <v>46</v>
      </c>
      <c r="V5" s="55" t="s">
        <v>24</v>
      </c>
      <c r="W5" s="55" t="s">
        <v>24</v>
      </c>
      <c r="X5" s="55" t="s">
        <v>24</v>
      </c>
      <c r="Y5" s="55" t="s">
        <v>24</v>
      </c>
      <c r="Z5" s="55" t="s">
        <v>24</v>
      </c>
      <c r="AA5" s="55" t="s">
        <v>24</v>
      </c>
      <c r="AB5" s="70" t="s">
        <v>47</v>
      </c>
      <c r="AC5" s="3" t="s">
        <v>24</v>
      </c>
      <c r="AE5" s="3" t="s">
        <v>18</v>
      </c>
      <c r="AF5" s="3" t="s">
        <v>18</v>
      </c>
      <c r="AG5" s="3" t="s">
        <v>21</v>
      </c>
      <c r="AH5" s="3" t="s">
        <v>21</v>
      </c>
      <c r="AI5" s="3" t="s">
        <v>21</v>
      </c>
      <c r="AJ5" s="3" t="s">
        <v>21</v>
      </c>
      <c r="AK5" s="3" t="s">
        <v>21</v>
      </c>
      <c r="AL5" s="3" t="s">
        <v>21</v>
      </c>
      <c r="AM5" s="3" t="s">
        <v>21</v>
      </c>
      <c r="AN5" s="3" t="s">
        <v>21</v>
      </c>
      <c r="AO5" s="3" t="s">
        <v>21</v>
      </c>
      <c r="AP5" s="3" t="s">
        <v>21</v>
      </c>
      <c r="AQ5" s="3" t="s">
        <v>21</v>
      </c>
      <c r="AR5" s="3" t="s">
        <v>48</v>
      </c>
      <c r="AS5" s="3" t="s">
        <v>21</v>
      </c>
      <c r="AT5" s="3" t="s">
        <v>21</v>
      </c>
      <c r="AU5" s="3" t="s">
        <v>21</v>
      </c>
      <c r="AV5" s="3" t="s">
        <v>21</v>
      </c>
      <c r="AW5" s="3" t="s">
        <v>21</v>
      </c>
      <c r="AX5" s="71" t="s">
        <v>49</v>
      </c>
      <c r="AY5" s="3" t="s">
        <v>21</v>
      </c>
      <c r="AZ5" s="3" t="s">
        <v>21</v>
      </c>
      <c r="BA5" s="55" t="s">
        <v>50</v>
      </c>
      <c r="BB5" s="55" t="s">
        <v>51</v>
      </c>
      <c r="BC5" s="55" t="s">
        <v>52</v>
      </c>
      <c r="BD5" s="55" t="s">
        <v>53</v>
      </c>
      <c r="BE5" s="58" t="s">
        <v>54</v>
      </c>
      <c r="BF5" s="58" t="s">
        <v>55</v>
      </c>
      <c r="BG5" s="66" t="s">
        <v>56</v>
      </c>
      <c r="BH5" s="66" t="s">
        <v>57</v>
      </c>
      <c r="BI5" s="58" t="s">
        <v>52</v>
      </c>
      <c r="BJ5" s="58"/>
      <c r="BK5" s="64" t="s">
        <v>58</v>
      </c>
      <c r="BL5" s="64" t="s">
        <v>59</v>
      </c>
      <c r="BM5" s="64" t="s">
        <v>60</v>
      </c>
      <c r="BO5" s="122"/>
      <c r="BP5" s="122"/>
      <c r="BQ5" s="122"/>
      <c r="BR5" s="122"/>
      <c r="BS5" s="122"/>
      <c r="BT5" s="64"/>
      <c r="CH5" s="122"/>
      <c r="CI5" s="122"/>
      <c r="CJ5" s="122"/>
      <c r="CK5" s="122"/>
      <c r="CL5" s="122"/>
      <c r="CP5" s="27"/>
      <c r="CQ5" s="72"/>
      <c r="CR5" s="73"/>
      <c r="CS5" s="74"/>
      <c r="CT5" s="72"/>
      <c r="CU5" s="72"/>
      <c r="CV5" s="75"/>
      <c r="CW5" s="27"/>
      <c r="CX5" s="73"/>
      <c r="CY5" s="76"/>
      <c r="CZ5" s="74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</row>
    <row r="6" spans="1:90" ht="12.75">
      <c r="A6" s="77" t="s">
        <v>61</v>
      </c>
      <c r="B6" s="16"/>
      <c r="F6" s="6">
        <v>0.006</v>
      </c>
      <c r="G6" s="6">
        <v>0.002</v>
      </c>
      <c r="H6" s="6">
        <v>0.02</v>
      </c>
      <c r="I6" s="6">
        <v>0.03</v>
      </c>
      <c r="J6" s="6">
        <v>0.01</v>
      </c>
      <c r="K6" s="6">
        <v>0.025</v>
      </c>
      <c r="L6" s="6">
        <v>0.005</v>
      </c>
      <c r="M6" s="6">
        <v>0.1</v>
      </c>
      <c r="N6" s="6">
        <v>0.01</v>
      </c>
      <c r="O6" s="6">
        <v>0.03</v>
      </c>
      <c r="P6" s="6">
        <v>0.01</v>
      </c>
      <c r="Q6" s="6">
        <v>0.05</v>
      </c>
      <c r="R6" s="6">
        <v>0.4</v>
      </c>
      <c r="S6" s="35"/>
      <c r="T6" s="35"/>
      <c r="U6" s="35"/>
      <c r="V6" s="6">
        <v>0.05</v>
      </c>
      <c r="W6" s="6">
        <v>0.07</v>
      </c>
      <c r="X6" s="6">
        <v>0.002</v>
      </c>
      <c r="Y6" s="6">
        <v>0.002</v>
      </c>
      <c r="Z6" s="6">
        <v>0.5</v>
      </c>
      <c r="AA6" s="6">
        <v>0.01</v>
      </c>
      <c r="AB6" s="3"/>
      <c r="AC6" s="6">
        <v>0.01</v>
      </c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 t="s">
        <v>62</v>
      </c>
      <c r="BA6" s="3"/>
      <c r="BB6" s="3"/>
      <c r="BC6" s="3"/>
      <c r="BD6" s="3"/>
      <c r="BE6" s="3"/>
      <c r="BF6" s="3"/>
      <c r="BG6" s="3"/>
      <c r="BH6" s="3"/>
      <c r="BI6" s="4"/>
      <c r="BJ6" s="22"/>
      <c r="BK6" s="3"/>
      <c r="BL6" s="3"/>
      <c r="BM6" s="3"/>
      <c r="BO6" s="7"/>
      <c r="BP6" s="7"/>
      <c r="BQ6" s="7"/>
      <c r="BR6" s="7"/>
      <c r="BS6" s="7"/>
      <c r="BT6" s="3"/>
      <c r="CH6" s="7"/>
      <c r="CI6" s="7"/>
      <c r="CJ6" s="7"/>
      <c r="CK6" s="7"/>
      <c r="CL6" s="7"/>
    </row>
    <row r="7" spans="2:90" ht="12.75">
      <c r="B7"/>
      <c r="D7" s="100"/>
      <c r="F7"/>
      <c r="J7" s="1"/>
      <c r="AB7"/>
      <c r="BA7" s="3"/>
      <c r="BB7" s="3"/>
      <c r="BC7" s="3"/>
      <c r="BD7" s="3"/>
      <c r="BE7" s="3"/>
      <c r="BF7" s="3"/>
      <c r="BG7" s="3"/>
      <c r="BH7" s="3"/>
      <c r="BI7" s="4"/>
      <c r="BJ7" s="22"/>
      <c r="BK7" s="3"/>
      <c r="BL7" s="3"/>
      <c r="BM7" s="3"/>
      <c r="BT7" s="3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34"/>
      <c r="CH7" s="123">
        <f>BH7+BK7+BL7+BM7+BU7</f>
        <v>0</v>
      </c>
      <c r="CI7" s="123">
        <f>BI7+BV7+BW7</f>
        <v>0</v>
      </c>
      <c r="CJ7" s="123" t="e">
        <f>CH7/CI7</f>
        <v>#DIV/0!</v>
      </c>
      <c r="CK7" s="123">
        <f>(BK7+BL7+BM7+BU7)-(BI7+BV7+BW7)</f>
        <v>0</v>
      </c>
      <c r="CL7" s="123" t="e">
        <f>BU7/BW7</f>
        <v>#DIV/0!</v>
      </c>
    </row>
    <row r="8" spans="1:90" s="27" customFormat="1" ht="12.75">
      <c r="A8" s="96">
        <v>38279</v>
      </c>
      <c r="B8" s="16">
        <v>14.2</v>
      </c>
      <c r="C8" s="26" t="s">
        <v>70</v>
      </c>
      <c r="D8" s="8">
        <v>815349</v>
      </c>
      <c r="E8" s="102"/>
      <c r="F8" s="82">
        <v>0.019</v>
      </c>
      <c r="G8" s="11">
        <v>0.002</v>
      </c>
      <c r="H8" s="79">
        <v>0.1635</v>
      </c>
      <c r="I8" s="79">
        <v>2.245</v>
      </c>
      <c r="J8" s="11">
        <v>0.0237</v>
      </c>
      <c r="K8" s="75">
        <v>0.0250133</v>
      </c>
      <c r="L8" s="11">
        <v>0.0127</v>
      </c>
      <c r="M8" s="11">
        <v>0.1169</v>
      </c>
      <c r="N8" s="11">
        <v>0.6173</v>
      </c>
      <c r="O8" s="75">
        <v>0.2343</v>
      </c>
      <c r="P8" s="11">
        <v>2.631</v>
      </c>
      <c r="Q8" s="75">
        <v>0.6366</v>
      </c>
      <c r="R8" s="75">
        <v>3.3</v>
      </c>
      <c r="S8" s="11">
        <v>5.85</v>
      </c>
      <c r="T8" s="11">
        <v>19.4</v>
      </c>
      <c r="U8" s="11">
        <v>22.341</v>
      </c>
      <c r="V8" s="11">
        <v>0.05</v>
      </c>
      <c r="W8" s="11">
        <v>0.6787</v>
      </c>
      <c r="X8" s="11">
        <v>0.002</v>
      </c>
      <c r="Y8" s="11">
        <v>0.002</v>
      </c>
      <c r="Z8" s="11">
        <v>4.607</v>
      </c>
      <c r="AA8" s="75"/>
      <c r="AB8" s="75"/>
      <c r="AE8" s="78">
        <f>$F8/56*2*1000</f>
        <v>0.6785714285714286</v>
      </c>
      <c r="AF8" s="78">
        <f>$G8/55*2*1000</f>
        <v>0.07272727272727272</v>
      </c>
      <c r="AG8" s="78">
        <f>$H8/27*3*1000</f>
        <v>18.166666666666668</v>
      </c>
      <c r="AH8" s="78">
        <f>$I8/28*4*1000</f>
        <v>320.7142857142857</v>
      </c>
      <c r="AI8" s="78">
        <f>$J8/14*1*1000</f>
        <v>1.6928571428571428</v>
      </c>
      <c r="AJ8" s="78">
        <f>$K8/14*1*1000</f>
        <v>1.7866642857142856</v>
      </c>
      <c r="AK8" s="78">
        <f>$L8/31*3*1000</f>
        <v>1.229032258064516</v>
      </c>
      <c r="AL8" s="78">
        <f>$M8/39*1*1000</f>
        <v>2.9974358974358974</v>
      </c>
      <c r="AM8" s="78">
        <f>$N8/40*2*1000</f>
        <v>30.864999999999995</v>
      </c>
      <c r="AN8" s="78">
        <f>$O8/24*2*1000</f>
        <v>19.525000000000002</v>
      </c>
      <c r="AO8" s="78">
        <f>$P8/23*1*1000</f>
        <v>114.39130434782608</v>
      </c>
      <c r="AP8" s="78">
        <f>$Q8/32*2*1000</f>
        <v>39.7875</v>
      </c>
      <c r="AQ8" s="78">
        <f>$R8/35*1*1000</f>
        <v>94.28571428571428</v>
      </c>
      <c r="AR8" s="68">
        <f>SUM(10^(6-S8))</f>
        <v>1.4125375446227555</v>
      </c>
      <c r="AS8" s="78">
        <f>$V8/31*3*1000</f>
        <v>4.838709677419355</v>
      </c>
      <c r="AT8" s="78">
        <f>$W8/32*2*1000</f>
        <v>42.418749999999996</v>
      </c>
      <c r="AU8" s="78">
        <f>$X8/63*2*1000</f>
        <v>0.06349206349206349</v>
      </c>
      <c r="AV8" s="78">
        <f>$Y8/65*2*1000</f>
        <v>0.061538461538461535</v>
      </c>
      <c r="AW8" s="68"/>
      <c r="AX8" s="68"/>
      <c r="AY8" s="68"/>
      <c r="AZ8" s="68">
        <f>AI8+AJ8</f>
        <v>3.479521428571428</v>
      </c>
      <c r="BA8" s="103">
        <f>AL8+AM8+AN8+AO8+AI8</f>
        <v>169.47159738811914</v>
      </c>
      <c r="BB8" s="103">
        <f>AJ8+AP8+AQ8</f>
        <v>135.85987857142857</v>
      </c>
      <c r="BC8" s="27">
        <f>ABS(BA8-BB8)/(BA8+BB8)*100</f>
        <v>11.008271817067321</v>
      </c>
      <c r="BD8" s="79">
        <f>(('[1]setup'!$B$13*'[1]setup'!$B$14*'[1]setup'!$B$15)/10^(-S8))*10^6</f>
        <v>8.394480093614028</v>
      </c>
      <c r="BE8" s="73">
        <f>((10^-(0.96+0.9*S8-0.039*S8^2))*Z8*10)/((10^-(0.96+0.9*S8-0.039*S8^2))+10^(-S8))</f>
        <v>41.51462986527599</v>
      </c>
      <c r="BF8" s="74">
        <f>(AM8+AN8+AO8+AL8+AI8)-(AP8+AQ8+AJ8)</f>
        <v>33.61171881669057</v>
      </c>
      <c r="BG8" s="72">
        <f>(AM8+AN8+AO8+AL8+AI8)+((10^-S8)*10^6)</f>
        <v>170.8841349327419</v>
      </c>
      <c r="BH8" s="72">
        <f>(AP8+AQ8+AJ8+BE8+BD8)</f>
        <v>185.76898853031858</v>
      </c>
      <c r="BI8" s="75">
        <f>ABS(BG8-BH8)/(BG8+BH8)*100</f>
        <v>4.17348191235408</v>
      </c>
      <c r="BJ8" s="58"/>
      <c r="BK8" s="92">
        <f>(3*('[1]setup'!$D$19*(10^-S8)^3)+2*('[1]setup'!$D$20*'[1]setup'!$D$19*((10^-S8)^2))+('[1]setup'!$D$21*'[1]setup'!$D$19*10^-S8)+('[1]setup'!$D$19*'[1]setup'!$D$22*(AP8/(10^6*2))*(10^-S8)^3))*10^6</f>
        <v>0.0033765153265915286</v>
      </c>
      <c r="BL8" s="93">
        <f>(AM8+AN8+AO8+AL8+AI8+(10^-S8)*10^6+BK8)-(AP8+AQ8+AJ8+BD8)</f>
        <v>26.633152783025878</v>
      </c>
      <c r="BM8" s="74">
        <f>(BL8/((('[1]setup'!$C$26)/10^-S8)+2*(('[1]setup'!$C$26*'[1]setup'!$C$27)/(10^-S8^2))+3*(('[1]setup'!$C$26*'[1]setup'!$C$27*'[1]setup'!$C$28)/(10^-S8^3))))/(10^-S8^3/(10^-S8^3+'[1]setup'!$C$26*10^-S8^2+'[1]setup'!$C$26*'[1]setup'!$C$27*10^-S8+'[1]setup'!$C$26*'[1]setup'!$C$27*'[1]setup'!$C$28))</f>
        <v>12.361096401431423</v>
      </c>
      <c r="BO8" s="123">
        <f>AI8+AL8+AM8+AN8+AO8</f>
        <v>169.4715973881191</v>
      </c>
      <c r="BP8" s="123">
        <f>AJ8+AP8+AQ8</f>
        <v>135.85987857142857</v>
      </c>
      <c r="BQ8" s="123">
        <f aca="true" t="shared" si="0" ref="BQ8:BQ59">BO8/BP8</f>
        <v>1.2473998885478108</v>
      </c>
      <c r="BR8" s="123">
        <f>(AL8+AM8+AN8+AO8)-(AJ8+AP8+AQ8)</f>
        <v>31.91886167383342</v>
      </c>
      <c r="BS8" s="123">
        <f>AO8/AQ8</f>
        <v>1.2132411067193676</v>
      </c>
      <c r="BT8" s="74"/>
      <c r="BV8" s="104"/>
      <c r="BW8" s="105"/>
      <c r="BX8" s="106"/>
      <c r="BY8" s="107"/>
      <c r="BZ8" s="107"/>
      <c r="CA8" s="106"/>
      <c r="CB8" s="108"/>
      <c r="CC8" s="104"/>
      <c r="CD8" s="107"/>
      <c r="CE8" s="109"/>
      <c r="CF8" s="110"/>
      <c r="CH8" s="123">
        <f>BH8+BK8+BL8+BM8+BU8</f>
        <v>224.76661423010245</v>
      </c>
      <c r="CI8" s="123">
        <f>BI8+BV8+BW8</f>
        <v>4.17348191235408</v>
      </c>
      <c r="CJ8" s="123">
        <f>CH8/CI8</f>
        <v>53.85589753360674</v>
      </c>
      <c r="CK8" s="123">
        <f>(BK8+BL8+BM8+BU8)-(BI8+BV8+BW8)</f>
        <v>34.82414378742982</v>
      </c>
      <c r="CL8" s="123" t="e">
        <f>BU8/BW8</f>
        <v>#DIV/0!</v>
      </c>
    </row>
    <row r="9" spans="1:90" s="27" customFormat="1" ht="12.75">
      <c r="A9" s="96">
        <v>38295</v>
      </c>
      <c r="B9" s="16">
        <v>14.1</v>
      </c>
      <c r="C9" s="26" t="s">
        <v>71</v>
      </c>
      <c r="D9" s="8">
        <v>815350</v>
      </c>
      <c r="E9" s="24"/>
      <c r="F9" s="79">
        <f>F6</f>
        <v>0.006</v>
      </c>
      <c r="G9" s="79">
        <f>G6</f>
        <v>0.002</v>
      </c>
      <c r="H9" s="79">
        <v>0.0644</v>
      </c>
      <c r="I9" s="79">
        <v>3.189</v>
      </c>
      <c r="J9" s="79">
        <v>0.0211</v>
      </c>
      <c r="K9" s="79">
        <v>0.05349</v>
      </c>
      <c r="L9" s="79">
        <v>0.0167</v>
      </c>
      <c r="M9" s="79">
        <v>0.1437</v>
      </c>
      <c r="N9" s="79">
        <v>0.97</v>
      </c>
      <c r="O9" s="79">
        <v>0.3339</v>
      </c>
      <c r="P9" s="79">
        <v>2.999</v>
      </c>
      <c r="Q9" s="79">
        <v>0.7029</v>
      </c>
      <c r="R9" s="79">
        <v>3.554</v>
      </c>
      <c r="S9" s="79">
        <v>6.65</v>
      </c>
      <c r="T9" s="79">
        <v>19.5</v>
      </c>
      <c r="U9" s="79">
        <v>27.137</v>
      </c>
      <c r="V9" s="79">
        <f>V6</f>
        <v>0.05</v>
      </c>
      <c r="W9" s="79">
        <v>0.7928</v>
      </c>
      <c r="X9" s="79">
        <f>X6</f>
        <v>0.002</v>
      </c>
      <c r="Y9" s="79">
        <f>Y6</f>
        <v>0.002</v>
      </c>
      <c r="Z9" s="79">
        <v>1.749</v>
      </c>
      <c r="AA9" s="75"/>
      <c r="AB9" s="75"/>
      <c r="AE9" s="78">
        <f aca="true" t="shared" si="1" ref="AE9:AE72">$F9/56*2*1000</f>
        <v>0.2142857142857143</v>
      </c>
      <c r="AF9" s="78">
        <f aca="true" t="shared" si="2" ref="AF9:AF72">$G9/55*2*1000</f>
        <v>0.07272727272727272</v>
      </c>
      <c r="AG9" s="78">
        <f aca="true" t="shared" si="3" ref="AG9:AG72">$H9/27*3*1000</f>
        <v>7.155555555555556</v>
      </c>
      <c r="AH9" s="78">
        <f aca="true" t="shared" si="4" ref="AH9:AH72">$I9/28*4*1000</f>
        <v>455.57142857142856</v>
      </c>
      <c r="AI9" s="78">
        <f aca="true" t="shared" si="5" ref="AI9:AI72">$J9/14*1*1000</f>
        <v>1.5071428571428573</v>
      </c>
      <c r="AJ9" s="78">
        <f aca="true" t="shared" si="6" ref="AJ9:AJ72">$K9/14*1*1000</f>
        <v>3.8207142857142857</v>
      </c>
      <c r="AK9" s="78">
        <f aca="true" t="shared" si="7" ref="AK9:AK72">$L9/31*3*1000</f>
        <v>1.6161290322580646</v>
      </c>
      <c r="AL9" s="78">
        <f aca="true" t="shared" si="8" ref="AL9:AL72">$M9/39*1*1000</f>
        <v>3.6846153846153844</v>
      </c>
      <c r="AM9" s="78">
        <f aca="true" t="shared" si="9" ref="AM9:AM72">$N9/40*2*1000</f>
        <v>48.5</v>
      </c>
      <c r="AN9" s="78">
        <f aca="true" t="shared" si="10" ref="AN9:AN72">$O9/24*2*1000</f>
        <v>27.825</v>
      </c>
      <c r="AO9" s="78">
        <f aca="true" t="shared" si="11" ref="AO9:AO72">$P9/23*1*1000</f>
        <v>130.3913043478261</v>
      </c>
      <c r="AP9" s="78">
        <f aca="true" t="shared" si="12" ref="AP9:AP72">$Q9/32*2*1000</f>
        <v>43.93125</v>
      </c>
      <c r="AQ9" s="78">
        <f aca="true" t="shared" si="13" ref="AQ9:AQ72">$R9/35*1*1000</f>
        <v>101.54285714285714</v>
      </c>
      <c r="AR9" s="68">
        <f aca="true" t="shared" si="14" ref="AR9:AR59">SUM(10^(6-S9))</f>
        <v>0.22387211385683375</v>
      </c>
      <c r="AS9" s="78">
        <f aca="true" t="shared" si="15" ref="AS9:AS72">$V9/31*3*1000</f>
        <v>4.838709677419355</v>
      </c>
      <c r="AT9" s="78">
        <f aca="true" t="shared" si="16" ref="AT9:AT50">$W9/32*2*1000</f>
        <v>49.55</v>
      </c>
      <c r="AU9" s="78">
        <f aca="true" t="shared" si="17" ref="AU9:AU72">$X9/63*2*1000</f>
        <v>0.06349206349206349</v>
      </c>
      <c r="AV9" s="78">
        <f aca="true" t="shared" si="18" ref="AV9:AV72">$Y9/65*2*1000</f>
        <v>0.061538461538461535</v>
      </c>
      <c r="AW9" s="68"/>
      <c r="AX9" s="68"/>
      <c r="AY9" s="68"/>
      <c r="AZ9" s="68">
        <f aca="true" t="shared" si="19" ref="AZ9:AZ59">AI9+AJ9</f>
        <v>5.327857142857143</v>
      </c>
      <c r="BA9" s="103">
        <f aca="true" t="shared" si="20" ref="BA9:BA59">AL9+AM9+AN9+AO9+AI9</f>
        <v>211.90806258958435</v>
      </c>
      <c r="BB9" s="103">
        <f aca="true" t="shared" si="21" ref="BB9:BB59">AJ9+AP9+AQ9</f>
        <v>149.29482142857142</v>
      </c>
      <c r="BC9" s="27">
        <f aca="true" t="shared" si="22" ref="BC9:BC59">ABS(BA9-BB9)/(BA9+BB9)*100</f>
        <v>17.334645965303444</v>
      </c>
      <c r="BD9" s="79">
        <f>(('[1]setup'!$B$13*'[1]setup'!$B$14*'[1]setup'!$B$15)/10^(-S9))*10^6</f>
        <v>52.96558868158559</v>
      </c>
      <c r="BE9" s="73">
        <f aca="true" t="shared" si="23" ref="BE9:BE59">((10^-(0.96+0.9*S9-0.039*S9^2))*Z9*10)/((10^-(0.96+0.9*S9-0.039*S9^2))+10^(-S9))</f>
        <v>16.863014199025184</v>
      </c>
      <c r="BF9" s="74">
        <f aca="true" t="shared" si="24" ref="BF9:BF59">(AM9+AN9+AO9+AL9+AI9)-(AP9+AQ9+AJ9)</f>
        <v>62.61324116101295</v>
      </c>
      <c r="BG9" s="72">
        <f aca="true" t="shared" si="25" ref="BG9:BG59">(AM9+AN9+AO9+AL9+AI9)+((10^-S9)*10^6)</f>
        <v>212.1319347034412</v>
      </c>
      <c r="BH9" s="72">
        <f aca="true" t="shared" si="26" ref="BH9:BH59">(AP9+AQ9+AJ9+BE9+BD9)</f>
        <v>219.12342430918218</v>
      </c>
      <c r="BI9" s="75">
        <f aca="true" t="shared" si="27" ref="BI9:BI59">ABS(BG9-BH9)/(BG9+BH9)*100</f>
        <v>1.6211948349461163</v>
      </c>
      <c r="BJ9" s="58"/>
      <c r="BK9" s="92">
        <f>(3*('[1]setup'!$D$19*(10^-S9)^3)+2*('[1]setup'!$D$20*'[1]setup'!$D$19*((10^-S9)^2))+('[1]setup'!$D$21*'[1]setup'!$D$19*10^-S9)+('[1]setup'!$D$19*'[1]setup'!$D$22*(AP9/(10^6*2))*(10^-S9)^3))*10^6</f>
        <v>0.00023210366419161325</v>
      </c>
      <c r="BL9" s="93">
        <f aca="true" t="shared" si="28" ref="BL9:BL59">(AM9+AN9+AO9+AL9+AI9+(10^-S9)*10^6+BK9)-(AP9+AQ9+AJ9+BD9)</f>
        <v>9.871756696948381</v>
      </c>
      <c r="BM9" s="74">
        <f>(BL9/((('[1]setup'!$C$26)/10^-S9)+2*(('[1]setup'!$C$26*'[1]setup'!$C$27)/(10^-S9^2))+3*(('[1]setup'!$C$26*'[1]setup'!$C$27*'[1]setup'!$C$28)/(10^-S9^3))))/(10^-S9^3/(10^-S9^3+'[1]setup'!$C$26*10^-S9^2+'[1]setup'!$C$26*'[1]setup'!$C$27*10^-S9+'[1]setup'!$C$26*'[1]setup'!$C$27*'[1]setup'!$C$28))</f>
        <v>3.792303766414258</v>
      </c>
      <c r="BO9" s="123">
        <f>AI9+AL9+AM9+AN9+AO9</f>
        <v>211.90806258958435</v>
      </c>
      <c r="BP9" s="123">
        <f aca="true" t="shared" si="29" ref="BP9:BP59">AJ9+AP9+AQ9</f>
        <v>149.29482142857142</v>
      </c>
      <c r="BQ9" s="123">
        <f t="shared" si="0"/>
        <v>1.4193932553177646</v>
      </c>
      <c r="BR9" s="123">
        <f aca="true" t="shared" si="30" ref="BR9:BR59">(AL9+AM9+AN9+AO9)-(AJ9+AP9+AQ9)</f>
        <v>61.106098303870056</v>
      </c>
      <c r="BS9" s="123">
        <f aca="true" t="shared" si="31" ref="BS9:BS59">AO9/AQ9</f>
        <v>1.2841011964473588</v>
      </c>
      <c r="BT9" s="74"/>
      <c r="BV9" s="104"/>
      <c r="BW9" s="105"/>
      <c r="BX9" s="106"/>
      <c r="BY9" s="107"/>
      <c r="BZ9" s="107"/>
      <c r="CA9" s="106"/>
      <c r="CB9" s="108"/>
      <c r="CC9" s="104"/>
      <c r="CD9" s="107"/>
      <c r="CE9" s="109"/>
      <c r="CF9" s="110"/>
      <c r="CH9" s="123">
        <f>BH9+BK9+BL9+BM9+BU9</f>
        <v>232.787716876209</v>
      </c>
      <c r="CI9" s="123">
        <f>BI9+BV9+BW9</f>
        <v>1.6211948349461163</v>
      </c>
      <c r="CJ9" s="123">
        <f>CH9/CI9</f>
        <v>143.59021621478715</v>
      </c>
      <c r="CK9" s="123">
        <f>(BK9+BL9+BM9+BU9)-(BI9+BV9+BW9)</f>
        <v>12.043097732080714</v>
      </c>
      <c r="CL9" s="123" t="e">
        <f>BU9/BW9</f>
        <v>#DIV/0!</v>
      </c>
    </row>
    <row r="10" spans="1:84" s="27" customFormat="1" ht="12.75">
      <c r="A10" s="96">
        <v>38306</v>
      </c>
      <c r="B10" s="16">
        <v>15.25</v>
      </c>
      <c r="C10" s="26" t="s">
        <v>72</v>
      </c>
      <c r="D10" s="1">
        <v>819713</v>
      </c>
      <c r="E10" s="102"/>
      <c r="F10" s="29">
        <v>0.036</v>
      </c>
      <c r="G10" s="85">
        <v>0.0045</v>
      </c>
      <c r="H10" s="85">
        <v>0.1929</v>
      </c>
      <c r="I10" s="85">
        <v>2.441</v>
      </c>
      <c r="J10" s="85">
        <v>0.0785</v>
      </c>
      <c r="K10" s="85">
        <v>0.03324</v>
      </c>
      <c r="L10" s="85">
        <v>0.0092</v>
      </c>
      <c r="M10" s="85">
        <v>0.1556</v>
      </c>
      <c r="N10" s="85">
        <v>1.088</v>
      </c>
      <c r="O10" s="85">
        <v>0.3823</v>
      </c>
      <c r="P10" s="85">
        <v>2.897</v>
      </c>
      <c r="Q10" s="85">
        <v>0.5721</v>
      </c>
      <c r="R10" s="85">
        <v>3.388</v>
      </c>
      <c r="S10" s="11">
        <v>6.25</v>
      </c>
      <c r="T10" s="11">
        <v>17.4</v>
      </c>
      <c r="U10" s="11">
        <v>25.329</v>
      </c>
      <c r="V10" s="85">
        <f>V6</f>
        <v>0.05</v>
      </c>
      <c r="W10" s="85">
        <v>0.6524</v>
      </c>
      <c r="X10" s="85">
        <v>0.0021</v>
      </c>
      <c r="Y10" s="85">
        <v>0.0054</v>
      </c>
      <c r="Z10" s="85">
        <v>6.164</v>
      </c>
      <c r="AA10" s="75"/>
      <c r="AB10" s="75"/>
      <c r="AE10" s="78">
        <f t="shared" si="1"/>
        <v>1.2857142857142856</v>
      </c>
      <c r="AF10" s="78">
        <f t="shared" si="2"/>
        <v>0.16363636363636364</v>
      </c>
      <c r="AG10" s="78">
        <f t="shared" si="3"/>
        <v>21.433333333333334</v>
      </c>
      <c r="AH10" s="78">
        <f t="shared" si="4"/>
        <v>348.7142857142857</v>
      </c>
      <c r="AI10" s="78">
        <f t="shared" si="5"/>
        <v>5.607142857142858</v>
      </c>
      <c r="AJ10" s="78">
        <f t="shared" si="6"/>
        <v>2.374285714285714</v>
      </c>
      <c r="AK10" s="78">
        <f t="shared" si="7"/>
        <v>0.8903225806451613</v>
      </c>
      <c r="AL10" s="78">
        <f t="shared" si="8"/>
        <v>3.9897435897435893</v>
      </c>
      <c r="AM10" s="78">
        <f t="shared" si="9"/>
        <v>54.400000000000006</v>
      </c>
      <c r="AN10" s="78">
        <f t="shared" si="10"/>
        <v>31.858333333333327</v>
      </c>
      <c r="AO10" s="78">
        <f t="shared" si="11"/>
        <v>125.95652173913044</v>
      </c>
      <c r="AP10" s="78">
        <f t="shared" si="12"/>
        <v>35.75625</v>
      </c>
      <c r="AQ10" s="78">
        <f t="shared" si="13"/>
        <v>96.8</v>
      </c>
      <c r="AR10" s="68">
        <f t="shared" si="14"/>
        <v>0.5623413251903491</v>
      </c>
      <c r="AS10" s="78">
        <f t="shared" si="15"/>
        <v>4.838709677419355</v>
      </c>
      <c r="AT10" s="78">
        <f t="shared" si="16"/>
        <v>40.775</v>
      </c>
      <c r="AU10" s="78">
        <f t="shared" si="17"/>
        <v>0.06666666666666665</v>
      </c>
      <c r="AV10" s="78">
        <f t="shared" si="18"/>
        <v>0.16615384615384618</v>
      </c>
      <c r="AW10" s="68"/>
      <c r="AX10" s="68"/>
      <c r="AY10" s="68"/>
      <c r="AZ10" s="68">
        <f t="shared" si="19"/>
        <v>7.981428571428571</v>
      </c>
      <c r="BA10" s="103">
        <f t="shared" si="20"/>
        <v>221.81174151935022</v>
      </c>
      <c r="BB10" s="103">
        <f t="shared" si="21"/>
        <v>134.93053571428572</v>
      </c>
      <c r="BC10" s="27">
        <f t="shared" si="22"/>
        <v>24.354053710366568</v>
      </c>
      <c r="BD10" s="79">
        <f>(('[1]setup'!$B$13*'[1]setup'!$B$14*'[1]setup'!$B$15)/10^(-S10))*10^6</f>
        <v>21.085980646726345</v>
      </c>
      <c r="BE10" s="73">
        <f t="shared" si="23"/>
        <v>57.88890685330606</v>
      </c>
      <c r="BF10" s="74">
        <f t="shared" si="24"/>
        <v>86.8812058050645</v>
      </c>
      <c r="BG10" s="72">
        <f t="shared" si="25"/>
        <v>222.37408284454057</v>
      </c>
      <c r="BH10" s="72">
        <f t="shared" si="26"/>
        <v>213.90542321431812</v>
      </c>
      <c r="BI10" s="75">
        <f t="shared" si="27"/>
        <v>1.9411087416698267</v>
      </c>
      <c r="BJ10" s="58"/>
      <c r="BK10" s="92">
        <f>(3*('[1]setup'!$D$19*(10^-S10)^3)+2*('[1]setup'!$D$20*'[1]setup'!$D$19*((10^-S10)^2))+('[1]setup'!$D$21*'[1]setup'!$D$19*10^-S10)+('[1]setup'!$D$19*'[1]setup'!$D$22*(AP10/(10^6*2))*(10^-S10)^3))*10^6</f>
        <v>0.0007509194375343204</v>
      </c>
      <c r="BL10" s="93">
        <f t="shared" si="28"/>
        <v>66.35831740296604</v>
      </c>
      <c r="BM10" s="74">
        <f>(BL10/((('[1]setup'!$C$26)/10^-S10)+2*(('[1]setup'!$C$26*'[1]setup'!$C$27)/(10^-S10^2))+3*(('[1]setup'!$C$26*'[1]setup'!$C$27*'[1]setup'!$C$28)/(10^-S10^3))))/(10^-S10^3/(10^-S10^3+'[1]setup'!$C$26*10^-S10^2+'[1]setup'!$C$26*'[1]setup'!$C$27*10^-S10+'[1]setup'!$C$26*'[1]setup'!$C$27*'[1]setup'!$C$28))</f>
        <v>28.046353698711297</v>
      </c>
      <c r="BN10" s="74"/>
      <c r="BO10" s="123">
        <f aca="true" t="shared" si="32" ref="BO10:BO59">AI10+AL10+AM10+AN10+AO10</f>
        <v>221.81174151935022</v>
      </c>
      <c r="BP10" s="123">
        <f t="shared" si="29"/>
        <v>134.93053571428572</v>
      </c>
      <c r="BQ10" s="123">
        <f t="shared" si="0"/>
        <v>1.6438958042013168</v>
      </c>
      <c r="BR10" s="123">
        <f t="shared" si="30"/>
        <v>81.27406294792164</v>
      </c>
      <c r="BS10" s="123">
        <f t="shared" si="31"/>
        <v>1.301203736974488</v>
      </c>
      <c r="BT10" s="74"/>
      <c r="BV10" t="s">
        <v>73</v>
      </c>
      <c r="BW10" s="105"/>
      <c r="BX10" s="106"/>
      <c r="BY10" s="107"/>
      <c r="BZ10" s="107"/>
      <c r="CA10" s="106"/>
      <c r="CB10" s="108"/>
      <c r="CC10" s="104"/>
      <c r="CD10" s="107"/>
      <c r="CE10" s="109"/>
      <c r="CF10" s="110"/>
    </row>
    <row r="11" spans="1:84" s="27" customFormat="1" ht="12.75">
      <c r="A11" s="96">
        <v>38321</v>
      </c>
      <c r="B11" s="16">
        <v>14.2</v>
      </c>
      <c r="C11" s="26" t="s">
        <v>74</v>
      </c>
      <c r="D11" s="1">
        <v>819714</v>
      </c>
      <c r="E11" s="24"/>
      <c r="F11" s="85">
        <f>F6</f>
        <v>0.006</v>
      </c>
      <c r="G11" s="85">
        <v>0.0021</v>
      </c>
      <c r="H11" s="85">
        <v>0.1516</v>
      </c>
      <c r="I11" s="85">
        <v>2.728</v>
      </c>
      <c r="J11" s="85">
        <v>0.0206</v>
      </c>
      <c r="K11" s="85">
        <v>0.08824</v>
      </c>
      <c r="L11" s="85">
        <v>0.0097</v>
      </c>
      <c r="M11" s="85">
        <v>0.1546</v>
      </c>
      <c r="N11" s="85">
        <v>0.9621</v>
      </c>
      <c r="O11" s="85">
        <v>0.3654</v>
      </c>
      <c r="P11" s="85">
        <v>3.018</v>
      </c>
      <c r="Q11" s="85">
        <v>0.6455</v>
      </c>
      <c r="R11" s="85">
        <v>3.419</v>
      </c>
      <c r="S11" s="11">
        <v>6.31</v>
      </c>
      <c r="T11" s="11">
        <v>14.5</v>
      </c>
      <c r="U11" s="11">
        <v>24.451</v>
      </c>
      <c r="V11" s="85">
        <f>V6</f>
        <v>0.05</v>
      </c>
      <c r="W11" s="85">
        <v>0.728</v>
      </c>
      <c r="X11" s="85">
        <f>X6</f>
        <v>0.002</v>
      </c>
      <c r="Y11" s="85">
        <v>0.0036</v>
      </c>
      <c r="Z11" s="85">
        <v>3.692</v>
      </c>
      <c r="AA11" s="75"/>
      <c r="AB11" s="75"/>
      <c r="AE11" s="78">
        <f t="shared" si="1"/>
        <v>0.2142857142857143</v>
      </c>
      <c r="AF11" s="78">
        <f t="shared" si="2"/>
        <v>0.07636363636363636</v>
      </c>
      <c r="AG11" s="78">
        <f t="shared" si="3"/>
        <v>16.844444444444445</v>
      </c>
      <c r="AH11" s="78">
        <f t="shared" si="4"/>
        <v>389.7142857142857</v>
      </c>
      <c r="AI11" s="78">
        <f t="shared" si="5"/>
        <v>1.4714285714285715</v>
      </c>
      <c r="AJ11" s="78">
        <f t="shared" si="6"/>
        <v>6.302857142857143</v>
      </c>
      <c r="AK11" s="78">
        <f t="shared" si="7"/>
        <v>0.9387096774193548</v>
      </c>
      <c r="AL11" s="78">
        <f t="shared" si="8"/>
        <v>3.964102564102564</v>
      </c>
      <c r="AM11" s="78">
        <f t="shared" si="9"/>
        <v>48.105</v>
      </c>
      <c r="AN11" s="78">
        <f t="shared" si="10"/>
        <v>30.450000000000003</v>
      </c>
      <c r="AO11" s="78">
        <f t="shared" si="11"/>
        <v>131.2173913043478</v>
      </c>
      <c r="AP11" s="78">
        <f t="shared" si="12"/>
        <v>40.34375</v>
      </c>
      <c r="AQ11" s="78">
        <f t="shared" si="13"/>
        <v>97.6857142857143</v>
      </c>
      <c r="AR11" s="68">
        <f t="shared" si="14"/>
        <v>0.48977881936844664</v>
      </c>
      <c r="AS11" s="78">
        <f t="shared" si="15"/>
        <v>4.838709677419355</v>
      </c>
      <c r="AT11" s="78">
        <f t="shared" si="16"/>
        <v>45.5</v>
      </c>
      <c r="AU11" s="78">
        <f t="shared" si="17"/>
        <v>0.06349206349206349</v>
      </c>
      <c r="AV11" s="78">
        <f t="shared" si="18"/>
        <v>0.11076923076923076</v>
      </c>
      <c r="AW11" s="68"/>
      <c r="AX11" s="68"/>
      <c r="AY11" s="68"/>
      <c r="AZ11" s="68">
        <f t="shared" si="19"/>
        <v>7.774285714285715</v>
      </c>
      <c r="BA11" s="103">
        <f t="shared" si="20"/>
        <v>215.20792243987893</v>
      </c>
      <c r="BB11" s="103">
        <f t="shared" si="21"/>
        <v>144.33232142857145</v>
      </c>
      <c r="BC11" s="27">
        <f t="shared" si="22"/>
        <v>19.712842225595097</v>
      </c>
      <c r="BD11" s="79">
        <f>(('[1]setup'!$B$13*'[1]setup'!$B$14*'[1]setup'!$B$15)/10^(-S11))*10^6</f>
        <v>24.209945042352018</v>
      </c>
      <c r="BE11" s="73">
        <f t="shared" si="23"/>
        <v>34.8391550828378</v>
      </c>
      <c r="BF11" s="74">
        <f t="shared" si="24"/>
        <v>70.87560101130751</v>
      </c>
      <c r="BG11" s="72">
        <f t="shared" si="25"/>
        <v>215.6977012592474</v>
      </c>
      <c r="BH11" s="72">
        <f t="shared" si="26"/>
        <v>203.38142155376127</v>
      </c>
      <c r="BI11" s="75">
        <f t="shared" si="27"/>
        <v>2.9388912582461417</v>
      </c>
      <c r="BJ11" s="58"/>
      <c r="BK11" s="92">
        <f>(3*('[1]setup'!$D$19*(10^-S11)^3)+2*('[1]setup'!$D$20*'[1]setup'!$D$19*((10^-S11)^2))+('[1]setup'!$D$21*'[1]setup'!$D$19*10^-S11)+('[1]setup'!$D$19*'[1]setup'!$D$22*(AP11/(10^6*2))*(10^-S11)^3))*10^6</f>
        <v>0.000619844278519374</v>
      </c>
      <c r="BL11" s="93">
        <f t="shared" si="28"/>
        <v>47.15605463260246</v>
      </c>
      <c r="BM11" s="74">
        <f>(BL11/((('[1]setup'!$C$26)/10^-S11)+2*(('[1]setup'!$C$26*'[1]setup'!$C$27)/(10^-S11^2))+3*(('[1]setup'!$C$26*'[1]setup'!$C$27*'[1]setup'!$C$28)/(10^-S11^3))))/(10^-S11^3/(10^-S11^3+'[1]setup'!$C$26*10^-S11^2+'[1]setup'!$C$26*'[1]setup'!$C$27*10^-S11+'[1]setup'!$C$26*'[1]setup'!$C$27*'[1]setup'!$C$28))</f>
        <v>19.63621240425774</v>
      </c>
      <c r="BN11" s="74"/>
      <c r="BO11" s="123">
        <f t="shared" si="32"/>
        <v>215.20792243987896</v>
      </c>
      <c r="BP11" s="123">
        <f t="shared" si="29"/>
        <v>144.33232142857145</v>
      </c>
      <c r="BQ11" s="123">
        <f t="shared" si="0"/>
        <v>1.4910584151200195</v>
      </c>
      <c r="BR11" s="123">
        <f t="shared" si="30"/>
        <v>69.40417243987892</v>
      </c>
      <c r="BS11" s="123">
        <f t="shared" si="31"/>
        <v>1.3432608059819167</v>
      </c>
      <c r="BT11" s="74"/>
      <c r="BV11" t="s">
        <v>75</v>
      </c>
      <c r="BW11" s="105"/>
      <c r="BX11" s="106"/>
      <c r="BY11" s="107"/>
      <c r="BZ11" s="107"/>
      <c r="CA11" s="106"/>
      <c r="CB11" s="108"/>
      <c r="CC11" s="104"/>
      <c r="CD11" s="107"/>
      <c r="CE11" s="109"/>
      <c r="CF11" s="110"/>
    </row>
    <row r="12" spans="1:84" s="27" customFormat="1" ht="12.75">
      <c r="A12" s="96">
        <v>38334</v>
      </c>
      <c r="B12" s="16">
        <v>14.55</v>
      </c>
      <c r="C12" s="26" t="s">
        <v>76</v>
      </c>
      <c r="D12" s="1">
        <v>819715</v>
      </c>
      <c r="E12" s="102"/>
      <c r="F12" s="85">
        <f>F6</f>
        <v>0.006</v>
      </c>
      <c r="G12" s="85">
        <f>G6</f>
        <v>0.002</v>
      </c>
      <c r="H12" s="85">
        <v>0.0433</v>
      </c>
      <c r="I12" s="85">
        <v>3.337</v>
      </c>
      <c r="J12" s="85">
        <v>0.0186</v>
      </c>
      <c r="K12" s="85">
        <v>0.09507</v>
      </c>
      <c r="L12" s="85">
        <v>0.0108</v>
      </c>
      <c r="M12" s="85">
        <v>0.1773</v>
      </c>
      <c r="N12" s="85">
        <v>1.075</v>
      </c>
      <c r="O12" s="85">
        <v>0.3895</v>
      </c>
      <c r="P12" s="85">
        <v>3.187</v>
      </c>
      <c r="Q12" s="85">
        <v>0.7286</v>
      </c>
      <c r="R12" s="85">
        <v>3.693</v>
      </c>
      <c r="S12" s="11">
        <v>6.59</v>
      </c>
      <c r="T12" s="11">
        <v>14.8</v>
      </c>
      <c r="U12" s="11">
        <v>27.688</v>
      </c>
      <c r="V12" s="85">
        <f>V6</f>
        <v>0.05</v>
      </c>
      <c r="W12" s="85">
        <v>0.7226</v>
      </c>
      <c r="X12" s="85">
        <f>X6</f>
        <v>0.002</v>
      </c>
      <c r="Y12" s="85">
        <f>Y6</f>
        <v>0.002</v>
      </c>
      <c r="Z12" s="85">
        <v>1.514</v>
      </c>
      <c r="AA12" s="163"/>
      <c r="AB12" s="163"/>
      <c r="AE12" s="78">
        <f t="shared" si="1"/>
        <v>0.2142857142857143</v>
      </c>
      <c r="AF12" s="78">
        <f t="shared" si="2"/>
        <v>0.07272727272727272</v>
      </c>
      <c r="AG12" s="78">
        <f t="shared" si="3"/>
        <v>4.811111111111111</v>
      </c>
      <c r="AH12" s="78">
        <f t="shared" si="4"/>
        <v>476.7142857142858</v>
      </c>
      <c r="AI12" s="78">
        <f t="shared" si="5"/>
        <v>1.3285714285714285</v>
      </c>
      <c r="AJ12" s="78">
        <f t="shared" si="6"/>
        <v>6.790714285714286</v>
      </c>
      <c r="AK12" s="78">
        <f t="shared" si="7"/>
        <v>1.0451612903225806</v>
      </c>
      <c r="AL12" s="78">
        <f t="shared" si="8"/>
        <v>4.546153846153847</v>
      </c>
      <c r="AM12" s="78">
        <f t="shared" si="9"/>
        <v>53.75</v>
      </c>
      <c r="AN12" s="78">
        <f t="shared" si="10"/>
        <v>32.45833333333333</v>
      </c>
      <c r="AO12" s="78">
        <f t="shared" si="11"/>
        <v>138.56521739130434</v>
      </c>
      <c r="AP12" s="78">
        <f t="shared" si="12"/>
        <v>45.5375</v>
      </c>
      <c r="AQ12" s="78">
        <f t="shared" si="13"/>
        <v>105.51428571428572</v>
      </c>
      <c r="AR12" s="68">
        <f t="shared" si="14"/>
        <v>0.25703957827688645</v>
      </c>
      <c r="AS12" s="78">
        <f t="shared" si="15"/>
        <v>4.838709677419355</v>
      </c>
      <c r="AT12" s="78">
        <f t="shared" si="16"/>
        <v>45.1625</v>
      </c>
      <c r="AU12" s="78">
        <f t="shared" si="17"/>
        <v>0.06349206349206349</v>
      </c>
      <c r="AV12" s="78">
        <f t="shared" si="18"/>
        <v>0.061538461538461535</v>
      </c>
      <c r="AW12" s="68"/>
      <c r="AX12" s="68"/>
      <c r="AY12" s="68"/>
      <c r="AZ12" s="68">
        <f t="shared" si="19"/>
        <v>8.119285714285715</v>
      </c>
      <c r="BA12" s="103">
        <f t="shared" si="20"/>
        <v>230.64827599936294</v>
      </c>
      <c r="BB12" s="103">
        <f t="shared" si="21"/>
        <v>157.8425</v>
      </c>
      <c r="BC12" s="27">
        <f t="shared" si="22"/>
        <v>18.740670434729275</v>
      </c>
      <c r="BD12" s="79">
        <f>(('[1]setup'!$B$13*'[1]setup'!$B$14*'[1]setup'!$B$15)/10^(-S12))*10^6</f>
        <v>46.13109926225088</v>
      </c>
      <c r="BE12" s="73">
        <f t="shared" si="23"/>
        <v>14.550893568515137</v>
      </c>
      <c r="BF12" s="74">
        <f t="shared" si="24"/>
        <v>72.80577599936296</v>
      </c>
      <c r="BG12" s="72">
        <f t="shared" si="25"/>
        <v>230.90531557763984</v>
      </c>
      <c r="BH12" s="72">
        <f t="shared" si="26"/>
        <v>218.524492830766</v>
      </c>
      <c r="BI12" s="75">
        <f t="shared" si="27"/>
        <v>2.7547845103374033</v>
      </c>
      <c r="BJ12" s="58"/>
      <c r="BK12" s="92">
        <f>(3*('[1]setup'!$D$19*(10^-S12)^3)+2*('[1]setup'!$D$20*'[1]setup'!$D$19*((10^-S12)^2))+('[1]setup'!$D$21*'[1]setup'!$D$19*10^-S12)+('[1]setup'!$D$19*'[1]setup'!$D$22*(AP12/(10^6*2))*(10^-S12)^3))*10^6</f>
        <v>0.00027322942140685087</v>
      </c>
      <c r="BL12" s="93">
        <f t="shared" si="28"/>
        <v>26.931989544810364</v>
      </c>
      <c r="BM12" s="74">
        <f>(BL12/((('[1]setup'!$C$26)/10^-S12)+2*(('[1]setup'!$C$26*'[1]setup'!$C$27)/(10^-S12^2))+3*(('[1]setup'!$C$26*'[1]setup'!$C$27*'[1]setup'!$C$28)/(10^-S12^3))))/(10^-S12^3/(10^-S12^3+'[1]setup'!$C$26*10^-S12^2+'[1]setup'!$C$26*'[1]setup'!$C$27*10^-S12+'[1]setup'!$C$26*'[1]setup'!$C$27*'[1]setup'!$C$28))</f>
        <v>10.484583756278667</v>
      </c>
      <c r="BN12" s="74"/>
      <c r="BO12" s="123">
        <f t="shared" si="32"/>
        <v>230.64827599936297</v>
      </c>
      <c r="BP12" s="123">
        <f t="shared" si="29"/>
        <v>157.8425</v>
      </c>
      <c r="BQ12" s="123">
        <f t="shared" si="0"/>
        <v>1.4612558468052834</v>
      </c>
      <c r="BR12" s="123">
        <f t="shared" si="30"/>
        <v>71.47720457079151</v>
      </c>
      <c r="BS12" s="123">
        <f t="shared" si="31"/>
        <v>1.3132365580004473</v>
      </c>
      <c r="BT12" s="74"/>
      <c r="BV12" t="s">
        <v>77</v>
      </c>
      <c r="BW12" s="105"/>
      <c r="BX12" s="106"/>
      <c r="BY12" s="107"/>
      <c r="BZ12" s="107"/>
      <c r="CA12" s="106"/>
      <c r="CB12" s="108"/>
      <c r="CC12" s="104"/>
      <c r="CD12" s="107"/>
      <c r="CE12" s="109"/>
      <c r="CF12" s="110"/>
    </row>
    <row r="13" spans="1:84" s="27" customFormat="1" ht="12.75">
      <c r="A13" s="98">
        <v>38349</v>
      </c>
      <c r="B13" s="16">
        <v>15.2</v>
      </c>
      <c r="C13" s="26" t="s">
        <v>78</v>
      </c>
      <c r="D13" s="1">
        <v>819716</v>
      </c>
      <c r="E13" s="112"/>
      <c r="F13" s="29">
        <v>0.0177</v>
      </c>
      <c r="G13" s="85">
        <f>G6</f>
        <v>0.002</v>
      </c>
      <c r="H13" s="85">
        <v>0.1716</v>
      </c>
      <c r="I13" s="85">
        <v>2.143</v>
      </c>
      <c r="J13" s="85">
        <v>0.0728</v>
      </c>
      <c r="K13" s="85">
        <v>0.0488</v>
      </c>
      <c r="L13" s="85">
        <v>0.0275</v>
      </c>
      <c r="M13" s="85">
        <v>0.2952</v>
      </c>
      <c r="N13" s="85">
        <v>0.7034</v>
      </c>
      <c r="O13" s="85">
        <v>0.2829</v>
      </c>
      <c r="P13" s="85">
        <v>2.517</v>
      </c>
      <c r="Q13" s="85">
        <v>0.6098</v>
      </c>
      <c r="R13" s="85">
        <v>4.549</v>
      </c>
      <c r="S13" s="11">
        <v>5.95</v>
      </c>
      <c r="T13" s="11">
        <v>14.8</v>
      </c>
      <c r="U13" s="11">
        <v>22.602</v>
      </c>
      <c r="V13" s="85">
        <f>V6</f>
        <v>0.05</v>
      </c>
      <c r="W13" s="85">
        <v>0.5784</v>
      </c>
      <c r="X13" s="85">
        <f>X6</f>
        <v>0.002</v>
      </c>
      <c r="Y13" s="85">
        <v>0.00201</v>
      </c>
      <c r="Z13" s="85">
        <v>4.659</v>
      </c>
      <c r="AA13" s="163"/>
      <c r="AB13" s="163"/>
      <c r="AE13" s="78">
        <f t="shared" si="1"/>
        <v>0.6321428571428571</v>
      </c>
      <c r="AF13" s="78">
        <f t="shared" si="2"/>
        <v>0.07272727272727272</v>
      </c>
      <c r="AG13" s="78">
        <f t="shared" si="3"/>
        <v>19.066666666666666</v>
      </c>
      <c r="AH13" s="78">
        <f t="shared" si="4"/>
        <v>306.1428571428571</v>
      </c>
      <c r="AI13" s="78">
        <f t="shared" si="5"/>
        <v>5.200000000000001</v>
      </c>
      <c r="AJ13" s="78">
        <f t="shared" si="6"/>
        <v>3.485714285714286</v>
      </c>
      <c r="AK13" s="78">
        <f t="shared" si="7"/>
        <v>2.6612903225806455</v>
      </c>
      <c r="AL13" s="78">
        <f t="shared" si="8"/>
        <v>7.56923076923077</v>
      </c>
      <c r="AM13" s="78">
        <f t="shared" si="9"/>
        <v>35.17</v>
      </c>
      <c r="AN13" s="78">
        <f t="shared" si="10"/>
        <v>23.575</v>
      </c>
      <c r="AO13" s="78">
        <f t="shared" si="11"/>
        <v>109.43478260869564</v>
      </c>
      <c r="AP13" s="78">
        <f t="shared" si="12"/>
        <v>38.1125</v>
      </c>
      <c r="AQ13" s="78">
        <f t="shared" si="13"/>
        <v>129.97142857142856</v>
      </c>
      <c r="AR13" s="68">
        <f t="shared" si="14"/>
        <v>1.122018454301963</v>
      </c>
      <c r="AS13" s="78">
        <f t="shared" si="15"/>
        <v>4.838709677419355</v>
      </c>
      <c r="AT13" s="78">
        <f t="shared" si="16"/>
        <v>36.15</v>
      </c>
      <c r="AU13" s="78">
        <f t="shared" si="17"/>
        <v>0.06349206349206349</v>
      </c>
      <c r="AV13" s="78">
        <f t="shared" si="18"/>
        <v>0.06184615384615385</v>
      </c>
      <c r="AW13" s="68"/>
      <c r="AX13" s="68"/>
      <c r="AY13" s="68"/>
      <c r="AZ13" s="68">
        <f t="shared" si="19"/>
        <v>8.685714285714287</v>
      </c>
      <c r="BA13" s="103">
        <f t="shared" si="20"/>
        <v>180.9490133779264</v>
      </c>
      <c r="BB13" s="103">
        <f t="shared" si="21"/>
        <v>171.56964285714284</v>
      </c>
      <c r="BC13" s="27">
        <f t="shared" si="22"/>
        <v>2.660673514688863</v>
      </c>
      <c r="BD13" s="79">
        <f>(('[1]setup'!$B$13*'[1]setup'!$B$14*'[1]setup'!$B$15)/10^(-S13))*10^6</f>
        <v>10.56802430865099</v>
      </c>
      <c r="BE13" s="73">
        <f t="shared" si="23"/>
        <v>42.491675380331515</v>
      </c>
      <c r="BF13" s="74">
        <f t="shared" si="24"/>
        <v>9.379370520783539</v>
      </c>
      <c r="BG13" s="72">
        <f t="shared" si="25"/>
        <v>182.07103183222833</v>
      </c>
      <c r="BH13" s="72">
        <f t="shared" si="26"/>
        <v>224.62934254612534</v>
      </c>
      <c r="BI13" s="75">
        <f t="shared" si="27"/>
        <v>10.464291010045883</v>
      </c>
      <c r="BJ13" s="58"/>
      <c r="BK13" s="92">
        <f>(3*('[1]setup'!$D$19*(10^-S13)^3)+2*('[1]setup'!$D$20*'[1]setup'!$D$19*((10^-S13)^2))+('[1]setup'!$D$21*'[1]setup'!$D$19*10^-S13)+('[1]setup'!$D$19*'[1]setup'!$D$22*(AP13/(10^6*2))*(10^-S13)^3))*10^6</f>
        <v>0.002222443507113727</v>
      </c>
      <c r="BL13" s="93">
        <f t="shared" si="28"/>
        <v>-0.06441289005837803</v>
      </c>
      <c r="BM13" s="74">
        <f>(BL13/((('[1]setup'!$C$26)/10^-S13)+2*(('[1]setup'!$C$26*'[1]setup'!$C$27)/(10^-S13^2))+3*(('[1]setup'!$C$26*'[1]setup'!$C$27*'[1]setup'!$C$28)/(10^-S13^3))))/(10^-S13^3/(10^-S13^3+'[1]setup'!$C$26*10^-S13^2+'[1]setup'!$C$26*'[1]setup'!$C$27*10^-S13+'[1]setup'!$C$26*'[1]setup'!$C$27*'[1]setup'!$C$28))</f>
        <v>-0.029243452857978358</v>
      </c>
      <c r="BN13" s="74"/>
      <c r="BO13" s="123">
        <f t="shared" si="32"/>
        <v>180.9490133779264</v>
      </c>
      <c r="BP13" s="123">
        <f t="shared" si="29"/>
        <v>171.56964285714284</v>
      </c>
      <c r="BQ13" s="123">
        <f t="shared" si="0"/>
        <v>1.0546680074900738</v>
      </c>
      <c r="BR13" s="123">
        <f t="shared" si="30"/>
        <v>4.1793705207835785</v>
      </c>
      <c r="BS13" s="123">
        <f t="shared" si="31"/>
        <v>0.8419910730499776</v>
      </c>
      <c r="BT13" s="74"/>
      <c r="BV13" s="27" t="s">
        <v>79</v>
      </c>
      <c r="BW13" s="105"/>
      <c r="BX13" s="106"/>
      <c r="BY13" s="107"/>
      <c r="BZ13" s="107"/>
      <c r="CA13" s="106"/>
      <c r="CB13" s="108"/>
      <c r="CC13" s="104"/>
      <c r="CD13" s="107"/>
      <c r="CE13" s="109"/>
      <c r="CF13" s="110"/>
    </row>
    <row r="14" spans="1:84" s="27" customFormat="1" ht="12.75">
      <c r="A14" s="96">
        <v>38363</v>
      </c>
      <c r="B14" s="16">
        <v>13.4</v>
      </c>
      <c r="C14" s="26" t="s">
        <v>80</v>
      </c>
      <c r="D14" s="1">
        <v>819717</v>
      </c>
      <c r="E14" s="24"/>
      <c r="F14" s="85">
        <f>F6</f>
        <v>0.006</v>
      </c>
      <c r="G14" s="85">
        <v>0.0052</v>
      </c>
      <c r="H14" s="85">
        <v>0.1231</v>
      </c>
      <c r="I14" s="85">
        <v>1.825</v>
      </c>
      <c r="J14" s="85">
        <v>0.0194</v>
      </c>
      <c r="K14" s="85">
        <v>0.03954</v>
      </c>
      <c r="L14" s="85">
        <v>0.0075</v>
      </c>
      <c r="M14" s="85">
        <v>0.1072</v>
      </c>
      <c r="N14" s="85">
        <v>0.5162</v>
      </c>
      <c r="O14" s="85">
        <v>0.2855</v>
      </c>
      <c r="P14" s="85">
        <v>2.502</v>
      </c>
      <c r="Q14" s="85">
        <v>0.5599</v>
      </c>
      <c r="R14" s="85">
        <v>3.306</v>
      </c>
      <c r="S14" s="11">
        <v>5.71</v>
      </c>
      <c r="T14" s="11">
        <v>14.2</v>
      </c>
      <c r="U14" s="11">
        <v>20.081</v>
      </c>
      <c r="V14" s="85">
        <f>V6</f>
        <v>0.05</v>
      </c>
      <c r="W14" s="85">
        <v>0.6507</v>
      </c>
      <c r="X14" s="85">
        <f>X6</f>
        <v>0.002</v>
      </c>
      <c r="Y14" s="85">
        <v>0.0044</v>
      </c>
      <c r="Z14" s="85">
        <v>3.038</v>
      </c>
      <c r="AA14" s="163"/>
      <c r="AB14" s="163"/>
      <c r="AE14" s="78">
        <f t="shared" si="1"/>
        <v>0.2142857142857143</v>
      </c>
      <c r="AF14" s="78">
        <f t="shared" si="2"/>
        <v>0.18909090909090906</v>
      </c>
      <c r="AG14" s="78">
        <f t="shared" si="3"/>
        <v>13.677777777777779</v>
      </c>
      <c r="AH14" s="78">
        <f t="shared" si="4"/>
        <v>260.7142857142857</v>
      </c>
      <c r="AI14" s="78">
        <f t="shared" si="5"/>
        <v>1.3857142857142857</v>
      </c>
      <c r="AJ14" s="78">
        <f t="shared" si="6"/>
        <v>2.8242857142857143</v>
      </c>
      <c r="AK14" s="78">
        <f t="shared" si="7"/>
        <v>0.7258064516129031</v>
      </c>
      <c r="AL14" s="78">
        <f t="shared" si="8"/>
        <v>2.7487179487179487</v>
      </c>
      <c r="AM14" s="78">
        <f t="shared" si="9"/>
        <v>25.81</v>
      </c>
      <c r="AN14" s="78">
        <f t="shared" si="10"/>
        <v>23.791666666666664</v>
      </c>
      <c r="AO14" s="78">
        <f t="shared" si="11"/>
        <v>108.78260869565216</v>
      </c>
      <c r="AP14" s="78">
        <f t="shared" si="12"/>
        <v>34.99375</v>
      </c>
      <c r="AQ14" s="78">
        <f t="shared" si="13"/>
        <v>94.45714285714287</v>
      </c>
      <c r="AR14" s="68">
        <f t="shared" si="14"/>
        <v>1.9498445997580456</v>
      </c>
      <c r="AS14" s="78">
        <f t="shared" si="15"/>
        <v>4.838709677419355</v>
      </c>
      <c r="AT14" s="78">
        <f t="shared" si="16"/>
        <v>40.668749999999996</v>
      </c>
      <c r="AU14" s="78">
        <f t="shared" si="17"/>
        <v>0.06349206349206349</v>
      </c>
      <c r="AV14" s="78">
        <f t="shared" si="18"/>
        <v>0.13538461538461538</v>
      </c>
      <c r="AW14" s="68"/>
      <c r="AX14" s="68"/>
      <c r="AY14" s="68"/>
      <c r="AZ14" s="68">
        <f t="shared" si="19"/>
        <v>4.21</v>
      </c>
      <c r="BA14" s="103">
        <f t="shared" si="20"/>
        <v>162.51870759675106</v>
      </c>
      <c r="BB14" s="103">
        <f t="shared" si="21"/>
        <v>132.27517857142857</v>
      </c>
      <c r="BC14" s="27">
        <f t="shared" si="22"/>
        <v>10.25921175586002</v>
      </c>
      <c r="BD14" s="79">
        <f>(('[1]setup'!$B$13*'[1]setup'!$B$14*'[1]setup'!$B$15)/10^(-S14))*10^6</f>
        <v>6.08126324594767</v>
      </c>
      <c r="BE14" s="73">
        <f t="shared" si="23"/>
        <v>26.859975314109064</v>
      </c>
      <c r="BF14" s="74">
        <f t="shared" si="24"/>
        <v>30.24352902532246</v>
      </c>
      <c r="BG14" s="72">
        <f t="shared" si="25"/>
        <v>164.46855219650908</v>
      </c>
      <c r="BH14" s="72">
        <f t="shared" si="26"/>
        <v>165.21641713148531</v>
      </c>
      <c r="BI14" s="75">
        <f t="shared" si="27"/>
        <v>0.2268422902325902</v>
      </c>
      <c r="BJ14" s="58"/>
      <c r="BK14" s="92">
        <f>(3*('[1]setup'!$D$19*(10^-S14)^3)+2*('[1]setup'!$D$20*'[1]setup'!$D$19*((10^-S14)^2))+('[1]setup'!$D$21*'[1]setup'!$D$19*10^-S14)+('[1]setup'!$D$19*'[1]setup'!$D$22*(AP14/(10^6*2))*(10^-S14)^3))*10^6</f>
        <v>0.006397934333658346</v>
      </c>
      <c r="BL14" s="93">
        <f t="shared" si="28"/>
        <v>26.118508313466492</v>
      </c>
      <c r="BM14" s="74">
        <f>(BL14/((('[1]setup'!$C$26)/10^-S14)+2*(('[1]setup'!$C$26*'[1]setup'!$C$27)/(10^-S14^2))+3*(('[1]setup'!$C$26*'[1]setup'!$C$27*'[1]setup'!$C$28)/(10^-S14^3))))/(10^-S14^3/(10^-S14^3+'[1]setup'!$C$26*10^-S14^2+'[1]setup'!$C$26*'[1]setup'!$C$27*10^-S14+'[1]setup'!$C$26*'[1]setup'!$C$27*'[1]setup'!$C$28))</f>
        <v>12.483576145537624</v>
      </c>
      <c r="BN14" s="74"/>
      <c r="BO14" s="123">
        <f t="shared" si="32"/>
        <v>162.51870759675106</v>
      </c>
      <c r="BP14" s="123">
        <f t="shared" si="29"/>
        <v>132.27517857142857</v>
      </c>
      <c r="BQ14" s="123">
        <f t="shared" si="0"/>
        <v>1.2286409994070882</v>
      </c>
      <c r="BR14" s="123">
        <f t="shared" si="30"/>
        <v>28.857814739608216</v>
      </c>
      <c r="BS14" s="123">
        <f t="shared" si="31"/>
        <v>1.1516610115994632</v>
      </c>
      <c r="BT14" s="74"/>
      <c r="BV14" s="27" t="s">
        <v>81</v>
      </c>
      <c r="BW14" s="105"/>
      <c r="BX14" s="106"/>
      <c r="BY14" s="107"/>
      <c r="BZ14" s="107"/>
      <c r="CA14" s="106"/>
      <c r="CB14" s="108"/>
      <c r="CC14" s="104"/>
      <c r="CD14" s="107"/>
      <c r="CE14" s="109"/>
      <c r="CF14" s="110"/>
    </row>
    <row r="15" spans="1:84" s="27" customFormat="1" ht="12.75">
      <c r="A15" s="96">
        <v>38377</v>
      </c>
      <c r="B15" s="74">
        <v>14.45</v>
      </c>
      <c r="C15" s="26" t="s">
        <v>82</v>
      </c>
      <c r="D15" s="1">
        <v>819718</v>
      </c>
      <c r="E15" s="102"/>
      <c r="F15" s="9">
        <f>F6</f>
        <v>0.006</v>
      </c>
      <c r="G15" s="9">
        <f>G6</f>
        <v>0.002</v>
      </c>
      <c r="H15" s="9">
        <v>0.0512</v>
      </c>
      <c r="I15" s="9">
        <v>2.898</v>
      </c>
      <c r="J15" s="9">
        <v>0.0209</v>
      </c>
      <c r="K15" s="4">
        <v>0.06306</v>
      </c>
      <c r="L15" s="9">
        <v>0.01</v>
      </c>
      <c r="M15" s="9">
        <v>0.2424</v>
      </c>
      <c r="N15" s="9">
        <v>0.9852</v>
      </c>
      <c r="O15" s="9">
        <v>0.3999</v>
      </c>
      <c r="P15" s="9">
        <v>3.131</v>
      </c>
      <c r="Q15" s="4">
        <v>0.6939</v>
      </c>
      <c r="R15" s="4">
        <v>4.526</v>
      </c>
      <c r="S15" s="11">
        <v>6.46</v>
      </c>
      <c r="T15" s="11">
        <v>14.1</v>
      </c>
      <c r="U15" s="11">
        <v>28.364</v>
      </c>
      <c r="V15" s="85">
        <f>V6</f>
        <v>0.05</v>
      </c>
      <c r="W15" s="9">
        <v>0.6883</v>
      </c>
      <c r="X15" s="9">
        <f>X6</f>
        <v>0.002</v>
      </c>
      <c r="Y15" s="9">
        <f>Y6</f>
        <v>0.002</v>
      </c>
      <c r="Z15" s="9">
        <v>1.367</v>
      </c>
      <c r="AA15" s="163"/>
      <c r="AB15" s="163"/>
      <c r="AE15" s="78">
        <f t="shared" si="1"/>
        <v>0.2142857142857143</v>
      </c>
      <c r="AF15" s="78">
        <f t="shared" si="2"/>
        <v>0.07272727272727272</v>
      </c>
      <c r="AG15" s="78">
        <f t="shared" si="3"/>
        <v>5.688888888888889</v>
      </c>
      <c r="AH15" s="78">
        <f t="shared" si="4"/>
        <v>414.00000000000006</v>
      </c>
      <c r="AI15" s="78">
        <f t="shared" si="5"/>
        <v>1.4928571428571429</v>
      </c>
      <c r="AJ15" s="78">
        <f t="shared" si="6"/>
        <v>4.504285714285715</v>
      </c>
      <c r="AK15" s="78">
        <f t="shared" si="7"/>
        <v>0.967741935483871</v>
      </c>
      <c r="AL15" s="78">
        <f t="shared" si="8"/>
        <v>6.2153846153846155</v>
      </c>
      <c r="AM15" s="78">
        <f t="shared" si="9"/>
        <v>49.26</v>
      </c>
      <c r="AN15" s="78">
        <f t="shared" si="10"/>
        <v>33.325</v>
      </c>
      <c r="AO15" s="78">
        <f t="shared" si="11"/>
        <v>136.1304347826087</v>
      </c>
      <c r="AP15" s="78">
        <f t="shared" si="12"/>
        <v>43.36875</v>
      </c>
      <c r="AQ15" s="78">
        <f t="shared" si="13"/>
        <v>129.31428571428572</v>
      </c>
      <c r="AR15" s="68">
        <f t="shared" si="14"/>
        <v>0.34673685045253166</v>
      </c>
      <c r="AS15" s="78">
        <f t="shared" si="15"/>
        <v>4.838709677419355</v>
      </c>
      <c r="AT15" s="78">
        <f t="shared" si="16"/>
        <v>43.018750000000004</v>
      </c>
      <c r="AU15" s="78">
        <f t="shared" si="17"/>
        <v>0.06349206349206349</v>
      </c>
      <c r="AV15" s="78">
        <f t="shared" si="18"/>
        <v>0.061538461538461535</v>
      </c>
      <c r="AW15" s="68"/>
      <c r="AX15" s="68"/>
      <c r="AY15" s="68"/>
      <c r="AZ15" s="68">
        <f t="shared" si="19"/>
        <v>5.997142857142858</v>
      </c>
      <c r="BA15" s="103">
        <f t="shared" si="20"/>
        <v>226.42367654085044</v>
      </c>
      <c r="BB15" s="103">
        <f t="shared" si="21"/>
        <v>177.18732142857144</v>
      </c>
      <c r="BC15" s="27">
        <f t="shared" si="22"/>
        <v>12.198962704185085</v>
      </c>
      <c r="BD15" s="79">
        <f>(('[1]setup'!$B$13*'[1]setup'!$B$14*'[1]setup'!$B$15)/10^(-S15))*10^6</f>
        <v>34.19745632557576</v>
      </c>
      <c r="BE15" s="73">
        <f t="shared" si="23"/>
        <v>13.036664142468963</v>
      </c>
      <c r="BF15" s="74">
        <f t="shared" si="24"/>
        <v>49.236355112279</v>
      </c>
      <c r="BG15" s="72">
        <f t="shared" si="25"/>
        <v>226.77041339130298</v>
      </c>
      <c r="BH15" s="72">
        <f t="shared" si="26"/>
        <v>224.42144189661616</v>
      </c>
      <c r="BI15" s="75">
        <f t="shared" si="27"/>
        <v>0.5206147821945661</v>
      </c>
      <c r="BJ15" s="58"/>
      <c r="BK15" s="92">
        <f>(3*('[1]setup'!$D$19*(10^-S15)^3)+2*('[1]setup'!$D$20*'[1]setup'!$D$19*((10^-S15)^2))+('[1]setup'!$D$21*'[1]setup'!$D$19*10^-S15)+('[1]setup'!$D$19*'[1]setup'!$D$22*(AP15/(10^6*2))*(10^-S15)^3))*10^6</f>
        <v>0.0003943067415963749</v>
      </c>
      <c r="BL15" s="93">
        <f t="shared" si="28"/>
        <v>15.38602994389737</v>
      </c>
      <c r="BM15" s="74">
        <f>(BL15/((('[1]setup'!$C$26)/10^-S15)+2*(('[1]setup'!$C$26*'[1]setup'!$C$27)/(10^-S15^2))+3*(('[1]setup'!$C$26*'[1]setup'!$C$27*'[1]setup'!$C$28)/(10^-S15^3))))/(10^-S15^3/(10^-S15^3+'[1]setup'!$C$26*10^-S15^2+'[1]setup'!$C$26*'[1]setup'!$C$27*10^-S15+'[1]setup'!$C$26*'[1]setup'!$C$27*'[1]setup'!$C$28))</f>
        <v>6.175094782753812</v>
      </c>
      <c r="BN15" s="74"/>
      <c r="BO15" s="123">
        <f t="shared" si="32"/>
        <v>226.42367654085047</v>
      </c>
      <c r="BP15" s="123">
        <f t="shared" si="29"/>
        <v>177.18732142857144</v>
      </c>
      <c r="BQ15" s="123">
        <f t="shared" si="0"/>
        <v>1.2778774164839295</v>
      </c>
      <c r="BR15" s="123">
        <f t="shared" si="30"/>
        <v>47.74349796942187</v>
      </c>
      <c r="BS15" s="123">
        <f t="shared" si="31"/>
        <v>1.0527099463966647</v>
      </c>
      <c r="BT15" s="74"/>
      <c r="BV15" s="27" t="s">
        <v>83</v>
      </c>
      <c r="BW15" s="105"/>
      <c r="BX15" s="106"/>
      <c r="BY15" s="107"/>
      <c r="BZ15" s="107"/>
      <c r="CA15" s="106"/>
      <c r="CB15" s="108"/>
      <c r="CC15" s="104"/>
      <c r="CD15" s="107"/>
      <c r="CE15" s="109"/>
      <c r="CF15" s="110"/>
    </row>
    <row r="16" spans="1:84" s="27" customFormat="1" ht="12.75">
      <c r="A16" s="96">
        <v>38391</v>
      </c>
      <c r="B16" s="74">
        <v>16.1</v>
      </c>
      <c r="C16" s="26" t="s">
        <v>84</v>
      </c>
      <c r="D16" s="8">
        <v>819289</v>
      </c>
      <c r="E16" s="102"/>
      <c r="F16" s="81">
        <v>0.0201</v>
      </c>
      <c r="G16" s="75">
        <v>0.0026</v>
      </c>
      <c r="H16" s="75">
        <v>0.1329</v>
      </c>
      <c r="I16" s="75">
        <v>2.172</v>
      </c>
      <c r="J16" s="75">
        <v>0.0165</v>
      </c>
      <c r="K16" s="75">
        <v>0.04754</v>
      </c>
      <c r="L16" s="75">
        <v>0.0397</v>
      </c>
      <c r="M16" s="75">
        <v>0.2952</v>
      </c>
      <c r="N16" s="75">
        <v>1.024</v>
      </c>
      <c r="O16" s="75">
        <v>0.467</v>
      </c>
      <c r="P16" s="75">
        <v>3.501</v>
      </c>
      <c r="Q16" s="75">
        <v>0.5666</v>
      </c>
      <c r="R16" s="75">
        <v>6.103</v>
      </c>
      <c r="S16" s="9">
        <v>6.02</v>
      </c>
      <c r="T16" s="9">
        <v>17.8</v>
      </c>
      <c r="U16" s="9">
        <v>31.926</v>
      </c>
      <c r="V16" s="85">
        <f>V6</f>
        <v>0.05</v>
      </c>
      <c r="W16" s="75">
        <v>0.5643</v>
      </c>
      <c r="X16" s="75">
        <v>0.014</v>
      </c>
      <c r="Y16" s="75">
        <v>0.0043</v>
      </c>
      <c r="Z16" s="75">
        <v>3.689</v>
      </c>
      <c r="AA16" s="163"/>
      <c r="AB16" s="163"/>
      <c r="AE16" s="78">
        <f t="shared" si="1"/>
        <v>0.7178571428571427</v>
      </c>
      <c r="AF16" s="78">
        <f t="shared" si="2"/>
        <v>0.09454545454545453</v>
      </c>
      <c r="AG16" s="78">
        <f t="shared" si="3"/>
        <v>14.766666666666666</v>
      </c>
      <c r="AH16" s="78">
        <f t="shared" si="4"/>
        <v>310.28571428571433</v>
      </c>
      <c r="AI16" s="78">
        <f t="shared" si="5"/>
        <v>1.1785714285714286</v>
      </c>
      <c r="AJ16" s="78">
        <f t="shared" si="6"/>
        <v>3.395714285714286</v>
      </c>
      <c r="AK16" s="78">
        <f t="shared" si="7"/>
        <v>3.841935483870968</v>
      </c>
      <c r="AL16" s="78">
        <f t="shared" si="8"/>
        <v>7.56923076923077</v>
      </c>
      <c r="AM16" s="78">
        <f t="shared" si="9"/>
        <v>51.2</v>
      </c>
      <c r="AN16" s="78">
        <f t="shared" si="10"/>
        <v>38.91666666666667</v>
      </c>
      <c r="AO16" s="78">
        <f t="shared" si="11"/>
        <v>152.21739130434784</v>
      </c>
      <c r="AP16" s="78">
        <f t="shared" si="12"/>
        <v>35.4125</v>
      </c>
      <c r="AQ16" s="78">
        <f t="shared" si="13"/>
        <v>174.37142857142857</v>
      </c>
      <c r="AR16" s="68">
        <f t="shared" si="14"/>
        <v>0.9549925860214369</v>
      </c>
      <c r="AS16" s="78">
        <f t="shared" si="15"/>
        <v>4.838709677419355</v>
      </c>
      <c r="AT16" s="78">
        <f t="shared" si="16"/>
        <v>35.268750000000004</v>
      </c>
      <c r="AU16" s="78">
        <f t="shared" si="17"/>
        <v>0.4444444444444445</v>
      </c>
      <c r="AV16" s="78">
        <f t="shared" si="18"/>
        <v>0.13230769230769232</v>
      </c>
      <c r="AW16" s="68"/>
      <c r="AX16" s="68"/>
      <c r="AY16" s="68"/>
      <c r="AZ16" s="68">
        <f t="shared" si="19"/>
        <v>4.574285714285715</v>
      </c>
      <c r="BA16" s="103">
        <f t="shared" si="20"/>
        <v>251.0818601688167</v>
      </c>
      <c r="BB16" s="103">
        <f t="shared" si="21"/>
        <v>213.17964285714285</v>
      </c>
      <c r="BC16" s="27">
        <f t="shared" si="22"/>
        <v>8.163980227659433</v>
      </c>
      <c r="BD16" s="79">
        <f>(('[1]setup'!$B$13*'[1]setup'!$B$14*'[1]setup'!$B$15)/10^(-S16))*10^6</f>
        <v>12.416345920775552</v>
      </c>
      <c r="BE16" s="73">
        <f t="shared" si="23"/>
        <v>33.90535491593684</v>
      </c>
      <c r="BF16" s="74">
        <f t="shared" si="24"/>
        <v>37.90221731167384</v>
      </c>
      <c r="BG16" s="72">
        <f t="shared" si="25"/>
        <v>252.03685275483812</v>
      </c>
      <c r="BH16" s="72">
        <f t="shared" si="26"/>
        <v>259.50134369385523</v>
      </c>
      <c r="BI16" s="75">
        <f t="shared" si="27"/>
        <v>1.4592245487900315</v>
      </c>
      <c r="BJ16" s="58"/>
      <c r="BK16" s="92">
        <f>(3*('[1]setup'!$D$19*(10^-S16)^3)+2*('[1]setup'!$D$20*'[1]setup'!$D$19*((10^-S16)^2))+('[1]setup'!$D$21*'[1]setup'!$D$19*10^-S16)+('[1]setup'!$D$19*'[1]setup'!$D$22*(AP16/(10^6*2))*(10^-S16)^3))*10^6</f>
        <v>0.0016886863696921545</v>
      </c>
      <c r="BL16" s="93">
        <f t="shared" si="28"/>
        <v>26.442552663289433</v>
      </c>
      <c r="BM16" s="74">
        <f>(BL16/((('[1]setup'!$C$26)/10^-S16)+2*(('[1]setup'!$C$26*'[1]setup'!$C$27)/(10^-S16^2))+3*(('[1]setup'!$C$26*'[1]setup'!$C$27*'[1]setup'!$C$28)/(10^-S16^3))))/(10^-S16^3/(10^-S16^3+'[1]setup'!$C$26*10^-S16^2+'[1]setup'!$C$26*'[1]setup'!$C$27*10^-S16+'[1]setup'!$C$26*'[1]setup'!$C$27*'[1]setup'!$C$28))</f>
        <v>11.813991022605617</v>
      </c>
      <c r="BN16" s="74"/>
      <c r="BO16" s="123">
        <f t="shared" si="32"/>
        <v>251.08186016881672</v>
      </c>
      <c r="BP16" s="123">
        <f t="shared" si="29"/>
        <v>213.17964285714285</v>
      </c>
      <c r="BQ16" s="123">
        <f t="shared" si="0"/>
        <v>1.1777947312589931</v>
      </c>
      <c r="BR16" s="123">
        <f t="shared" si="30"/>
        <v>36.72364588310242</v>
      </c>
      <c r="BS16" s="123">
        <f t="shared" si="31"/>
        <v>0.8729491554403039</v>
      </c>
      <c r="BT16" s="74"/>
      <c r="BW16" s="105"/>
      <c r="BX16" s="106"/>
      <c r="BY16" s="107"/>
      <c r="BZ16" s="107"/>
      <c r="CA16" s="106"/>
      <c r="CB16" s="108"/>
      <c r="CC16" s="104"/>
      <c r="CD16" s="107"/>
      <c r="CE16" s="109"/>
      <c r="CF16" s="110"/>
    </row>
    <row r="17" spans="1:84" s="8" customFormat="1" ht="12.75">
      <c r="A17" s="96">
        <v>38405</v>
      </c>
      <c r="B17" s="16">
        <v>12.3</v>
      </c>
      <c r="C17" s="26" t="s">
        <v>85</v>
      </c>
      <c r="D17" s="80">
        <v>820504</v>
      </c>
      <c r="E17" s="24"/>
      <c r="F17" s="84">
        <v>0.007</v>
      </c>
      <c r="G17" s="75">
        <f>G6</f>
        <v>0.002</v>
      </c>
      <c r="H17" s="75">
        <v>0.028</v>
      </c>
      <c r="I17" s="75">
        <v>2.65</v>
      </c>
      <c r="J17" s="75">
        <v>0.016</v>
      </c>
      <c r="K17" s="75">
        <v>0.093</v>
      </c>
      <c r="L17" s="75">
        <v>0.012</v>
      </c>
      <c r="M17" s="75">
        <v>0.23</v>
      </c>
      <c r="N17" s="75">
        <v>1.11</v>
      </c>
      <c r="O17" s="75">
        <v>0.38</v>
      </c>
      <c r="P17" s="75">
        <v>2.93</v>
      </c>
      <c r="Q17" s="75">
        <v>0.715</v>
      </c>
      <c r="R17" s="75">
        <v>4.157</v>
      </c>
      <c r="S17" s="75">
        <v>6.52</v>
      </c>
      <c r="T17" s="75">
        <v>17.3</v>
      </c>
      <c r="U17" s="75">
        <v>27.814</v>
      </c>
      <c r="V17" s="75">
        <f>V6</f>
        <v>0.05</v>
      </c>
      <c r="W17" s="75">
        <v>0.77</v>
      </c>
      <c r="X17" s="75">
        <f>X6</f>
        <v>0.002</v>
      </c>
      <c r="Y17" s="75">
        <f>Y6</f>
        <v>0.002</v>
      </c>
      <c r="Z17" s="75">
        <v>1</v>
      </c>
      <c r="AA17" s="11"/>
      <c r="AB17" s="11"/>
      <c r="AE17" s="78">
        <f t="shared" si="1"/>
        <v>0.25</v>
      </c>
      <c r="AF17" s="78">
        <f t="shared" si="2"/>
        <v>0.07272727272727272</v>
      </c>
      <c r="AG17" s="78">
        <f t="shared" si="3"/>
        <v>3.111111111111111</v>
      </c>
      <c r="AH17" s="78">
        <f t="shared" si="4"/>
        <v>378.57142857142856</v>
      </c>
      <c r="AI17" s="78">
        <f t="shared" si="5"/>
        <v>1.142857142857143</v>
      </c>
      <c r="AJ17" s="78">
        <f t="shared" si="6"/>
        <v>6.642857142857143</v>
      </c>
      <c r="AK17" s="78">
        <f t="shared" si="7"/>
        <v>1.161290322580645</v>
      </c>
      <c r="AL17" s="78">
        <f t="shared" si="8"/>
        <v>5.897435897435898</v>
      </c>
      <c r="AM17" s="78">
        <f t="shared" si="9"/>
        <v>55.50000000000001</v>
      </c>
      <c r="AN17" s="78">
        <f t="shared" si="10"/>
        <v>31.666666666666668</v>
      </c>
      <c r="AO17" s="78">
        <f t="shared" si="11"/>
        <v>127.39130434782608</v>
      </c>
      <c r="AP17" s="78">
        <f t="shared" si="12"/>
        <v>44.6875</v>
      </c>
      <c r="AQ17" s="78">
        <f t="shared" si="13"/>
        <v>118.77142857142857</v>
      </c>
      <c r="AR17" s="68">
        <f t="shared" si="14"/>
        <v>0.30199517204020193</v>
      </c>
      <c r="AS17" s="78">
        <f t="shared" si="15"/>
        <v>4.838709677419355</v>
      </c>
      <c r="AT17" s="78">
        <f t="shared" si="16"/>
        <v>48.125</v>
      </c>
      <c r="AU17" s="78">
        <f t="shared" si="17"/>
        <v>0.06349206349206349</v>
      </c>
      <c r="AV17" s="78">
        <f t="shared" si="18"/>
        <v>0.061538461538461535</v>
      </c>
      <c r="AW17" s="68"/>
      <c r="AX17" s="68"/>
      <c r="AY17" s="68"/>
      <c r="AZ17" s="68">
        <f t="shared" si="19"/>
        <v>7.7857142857142865</v>
      </c>
      <c r="BA17" s="103">
        <f t="shared" si="20"/>
        <v>221.5982640547858</v>
      </c>
      <c r="BB17" s="103">
        <f t="shared" si="21"/>
        <v>170.1017857142857</v>
      </c>
      <c r="BC17" s="27">
        <f t="shared" si="22"/>
        <v>13.14691646602038</v>
      </c>
      <c r="BD17" s="79">
        <f>(('[1]setup'!$B$13*'[1]setup'!$B$14*'[1]setup'!$B$15)/10^(-S17))*10^6</f>
        <v>39.26393332619127</v>
      </c>
      <c r="BE17" s="73">
        <f t="shared" si="23"/>
        <v>9.572326912311897</v>
      </c>
      <c r="BF17" s="74">
        <f t="shared" si="24"/>
        <v>51.49647834050009</v>
      </c>
      <c r="BG17" s="72">
        <f t="shared" si="25"/>
        <v>221.900259226826</v>
      </c>
      <c r="BH17" s="72">
        <f t="shared" si="26"/>
        <v>218.93804595278888</v>
      </c>
      <c r="BI17" s="75">
        <f t="shared" si="27"/>
        <v>0.6719500640558423</v>
      </c>
      <c r="BJ17" s="58"/>
      <c r="BK17" s="92">
        <f>(3*('[1]setup'!$D$19*(10^-S17)^3)+2*('[1]setup'!$D$20*'[1]setup'!$D$19*((10^-S17)^2))+('[1]setup'!$D$21*'[1]setup'!$D$19*10^-S17)+('[1]setup'!$D$19*'[1]setup'!$D$22*(AP17/(10^6*2))*(10^-S17)^3))*10^6</f>
        <v>0.0003320657088490564</v>
      </c>
      <c r="BL17" s="93">
        <f t="shared" si="28"/>
        <v>12.534872252057852</v>
      </c>
      <c r="BM17" s="74">
        <f>(BL17/((('[1]setup'!$C$26)/10^-S17)+2*(('[1]setup'!$C$26*'[1]setup'!$C$27)/(10^-S17^2))+3*(('[1]setup'!$C$26*'[1]setup'!$C$27*'[1]setup'!$C$28)/(10^-S17^3))))/(10^-S17^3/(10^-S17^3+'[1]setup'!$C$26*10^-S17^2+'[1]setup'!$C$26*'[1]setup'!$C$27*10^-S17+'[1]setup'!$C$26*'[1]setup'!$C$27*'[1]setup'!$C$28))</f>
        <v>4.959334529471191</v>
      </c>
      <c r="BN17" s="74"/>
      <c r="BO17" s="123">
        <f t="shared" si="32"/>
        <v>221.5982640547858</v>
      </c>
      <c r="BP17" s="123">
        <f t="shared" si="29"/>
        <v>170.1017857142857</v>
      </c>
      <c r="BQ17" s="123">
        <f t="shared" si="0"/>
        <v>1.3027391989111567</v>
      </c>
      <c r="BR17" s="123">
        <f t="shared" si="30"/>
        <v>50.35362119764295</v>
      </c>
      <c r="BS17" s="123">
        <f t="shared" si="31"/>
        <v>1.0725753312903326</v>
      </c>
      <c r="BT17" s="74"/>
      <c r="BV17" s="94" t="s">
        <v>68</v>
      </c>
      <c r="BW17" s="106"/>
      <c r="BX17" s="106"/>
      <c r="BY17" s="107"/>
      <c r="BZ17" s="107"/>
      <c r="CA17" s="106"/>
      <c r="CB17" s="113"/>
      <c r="CC17" s="109"/>
      <c r="CD17" s="107"/>
      <c r="CE17" s="109"/>
      <c r="CF17" s="83"/>
    </row>
    <row r="18" spans="1:84" s="95" customFormat="1" ht="12.75">
      <c r="A18" s="96">
        <v>38419</v>
      </c>
      <c r="B18" s="74">
        <v>14.05</v>
      </c>
      <c r="C18" s="26" t="s">
        <v>86</v>
      </c>
      <c r="D18" s="80">
        <v>832823</v>
      </c>
      <c r="E18" s="102"/>
      <c r="F18" s="82">
        <v>0.0084</v>
      </c>
      <c r="G18" s="11">
        <v>0.0026</v>
      </c>
      <c r="H18" s="11">
        <v>0.049</v>
      </c>
      <c r="I18" s="11">
        <v>2.913</v>
      </c>
      <c r="J18" s="11">
        <f>J6</f>
        <v>0.01</v>
      </c>
      <c r="K18" s="75">
        <v>0.025075</v>
      </c>
      <c r="L18" s="11">
        <v>0.00508</v>
      </c>
      <c r="M18" s="11">
        <v>0.1369</v>
      </c>
      <c r="N18" s="11">
        <v>1.137</v>
      </c>
      <c r="O18" s="11">
        <v>0.4381</v>
      </c>
      <c r="P18" s="11">
        <v>3.588</v>
      </c>
      <c r="Q18" s="75">
        <v>0.7061</v>
      </c>
      <c r="R18" s="75">
        <v>5.45</v>
      </c>
      <c r="S18" s="75">
        <v>6.46</v>
      </c>
      <c r="T18" s="75">
        <v>21.7</v>
      </c>
      <c r="U18" s="75">
        <v>32.248</v>
      </c>
      <c r="V18" s="85">
        <f>V6</f>
        <v>0.05</v>
      </c>
      <c r="W18" s="11">
        <v>0.7623</v>
      </c>
      <c r="X18" s="11">
        <f>X6</f>
        <v>0.002</v>
      </c>
      <c r="Y18" s="11">
        <v>0.002</v>
      </c>
      <c r="Z18" s="11">
        <v>1.878</v>
      </c>
      <c r="AA18" s="164"/>
      <c r="AB18" s="164"/>
      <c r="AE18" s="78">
        <f t="shared" si="1"/>
        <v>0.3</v>
      </c>
      <c r="AF18" s="78">
        <f t="shared" si="2"/>
        <v>0.09454545454545453</v>
      </c>
      <c r="AG18" s="78">
        <f t="shared" si="3"/>
        <v>5.444444444444445</v>
      </c>
      <c r="AH18" s="78">
        <f t="shared" si="4"/>
        <v>416.1428571428571</v>
      </c>
      <c r="AI18" s="78">
        <f t="shared" si="5"/>
        <v>0.7142857142857143</v>
      </c>
      <c r="AJ18" s="78">
        <f t="shared" si="6"/>
        <v>1.7910714285714286</v>
      </c>
      <c r="AK18" s="78">
        <f t="shared" si="7"/>
        <v>0.4916129032258064</v>
      </c>
      <c r="AL18" s="78">
        <f t="shared" si="8"/>
        <v>3.51025641025641</v>
      </c>
      <c r="AM18" s="78">
        <f t="shared" si="9"/>
        <v>56.849999999999994</v>
      </c>
      <c r="AN18" s="78">
        <f t="shared" si="10"/>
        <v>36.50833333333333</v>
      </c>
      <c r="AO18" s="78">
        <f t="shared" si="11"/>
        <v>156</v>
      </c>
      <c r="AP18" s="78">
        <f t="shared" si="12"/>
        <v>44.131249999999994</v>
      </c>
      <c r="AQ18" s="78">
        <f t="shared" si="13"/>
        <v>155.71428571428572</v>
      </c>
      <c r="AR18" s="68">
        <f t="shared" si="14"/>
        <v>0.34673685045253166</v>
      </c>
      <c r="AS18" s="78">
        <f t="shared" si="15"/>
        <v>4.838709677419355</v>
      </c>
      <c r="AT18" s="78">
        <f t="shared" si="16"/>
        <v>47.64375</v>
      </c>
      <c r="AU18" s="78">
        <f t="shared" si="17"/>
        <v>0.06349206349206349</v>
      </c>
      <c r="AV18" s="78">
        <f t="shared" si="18"/>
        <v>0.061538461538461535</v>
      </c>
      <c r="AW18" s="68"/>
      <c r="AX18" s="68"/>
      <c r="AY18" s="68"/>
      <c r="AZ18" s="68">
        <f t="shared" si="19"/>
        <v>2.505357142857143</v>
      </c>
      <c r="BA18" s="103">
        <f t="shared" si="20"/>
        <v>253.58287545787545</v>
      </c>
      <c r="BB18" s="103">
        <f t="shared" si="21"/>
        <v>201.63660714285714</v>
      </c>
      <c r="BC18" s="27">
        <f t="shared" si="22"/>
        <v>11.411257712047384</v>
      </c>
      <c r="BD18" s="79">
        <f>(('[1]setup'!$B$13*'[1]setup'!$B$14*'[1]setup'!$B$15)/10^(-S18))*10^6</f>
        <v>34.19745632557576</v>
      </c>
      <c r="BE18" s="73">
        <f t="shared" si="23"/>
        <v>17.90991606405026</v>
      </c>
      <c r="BF18" s="74">
        <f t="shared" si="24"/>
        <v>51.9462683150183</v>
      </c>
      <c r="BG18" s="72">
        <f t="shared" si="25"/>
        <v>253.929612308328</v>
      </c>
      <c r="BH18" s="72">
        <f t="shared" si="26"/>
        <v>253.74397953248317</v>
      </c>
      <c r="BI18" s="75">
        <f t="shared" si="27"/>
        <v>0.036565379572280586</v>
      </c>
      <c r="BJ18" s="58"/>
      <c r="BK18" s="92">
        <f>(3*('[1]setup'!$D$19*(10^-S18)^3)+2*('[1]setup'!$D$20*'[1]setup'!$D$19*((10^-S18)^2))+('[1]setup'!$D$21*'[1]setup'!$D$19*10^-S18)+('[1]setup'!$D$19*'[1]setup'!$D$22*(AP18/(10^6*2))*(10^-S18)^3))*10^6</f>
        <v>0.0003943080617570475</v>
      </c>
      <c r="BL18" s="93">
        <f t="shared" si="28"/>
        <v>18.09594314795683</v>
      </c>
      <c r="BM18" s="74">
        <f>(BL18/((('[1]setup'!$C$26)/10^-S18)+2*(('[1]setup'!$C$26*'[1]setup'!$C$27)/(10^-S18^2))+3*(('[1]setup'!$C$26*'[1]setup'!$C$27*'[1]setup'!$C$28)/(10^-S18^3))))/(10^-S18^3/(10^-S18^3+'[1]setup'!$C$26*10^-S18^2+'[1]setup'!$C$26*'[1]setup'!$C$27*10^-S18+'[1]setup'!$C$26*'[1]setup'!$C$27*'[1]setup'!$C$28))</f>
        <v>7.2627028888813125</v>
      </c>
      <c r="BN18" s="74"/>
      <c r="BO18" s="123">
        <f t="shared" si="32"/>
        <v>253.58287545787545</v>
      </c>
      <c r="BP18" s="123">
        <f t="shared" si="29"/>
        <v>201.63660714285714</v>
      </c>
      <c r="BQ18" s="123">
        <f t="shared" si="0"/>
        <v>1.257623201714632</v>
      </c>
      <c r="BR18" s="123">
        <f t="shared" si="30"/>
        <v>51.23198260073258</v>
      </c>
      <c r="BS18" s="123">
        <f t="shared" si="31"/>
        <v>1.001834862385321</v>
      </c>
      <c r="BT18" s="74"/>
      <c r="BV18" s="27" t="s">
        <v>63</v>
      </c>
      <c r="BW18" s="105"/>
      <c r="BX18" s="106"/>
      <c r="BY18" s="107"/>
      <c r="BZ18" s="107"/>
      <c r="CA18" s="106"/>
      <c r="CB18" s="108"/>
      <c r="CC18" s="104"/>
      <c r="CD18" s="107"/>
      <c r="CE18" s="109"/>
      <c r="CF18" s="114"/>
    </row>
    <row r="19" spans="1:84" s="95" customFormat="1" ht="12.75">
      <c r="A19" s="96">
        <v>38433</v>
      </c>
      <c r="B19" s="74">
        <v>14.05</v>
      </c>
      <c r="C19" s="26" t="s">
        <v>87</v>
      </c>
      <c r="D19" s="80">
        <v>832824</v>
      </c>
      <c r="E19" s="102"/>
      <c r="F19" s="11">
        <f>F6</f>
        <v>0.006</v>
      </c>
      <c r="G19" s="11">
        <f>G6</f>
        <v>0.002</v>
      </c>
      <c r="H19" s="11">
        <v>0.0398</v>
      </c>
      <c r="I19" s="11">
        <v>2.505</v>
      </c>
      <c r="J19" s="11">
        <v>0.01009</v>
      </c>
      <c r="K19" s="75">
        <v>0.0250307</v>
      </c>
      <c r="L19" s="11">
        <v>0.00503</v>
      </c>
      <c r="M19" s="11">
        <v>0.1326</v>
      </c>
      <c r="N19" s="11">
        <v>0.8202</v>
      </c>
      <c r="O19" s="11">
        <v>0.3379</v>
      </c>
      <c r="P19" s="11">
        <v>3.034</v>
      </c>
      <c r="Q19" s="75">
        <v>0.6758</v>
      </c>
      <c r="R19" s="75">
        <v>4.491</v>
      </c>
      <c r="S19" s="75">
        <v>6.26</v>
      </c>
      <c r="T19" s="75">
        <v>21.8</v>
      </c>
      <c r="U19" s="75">
        <v>26.762</v>
      </c>
      <c r="V19" s="85">
        <f>V6</f>
        <v>0.05</v>
      </c>
      <c r="W19" s="11">
        <v>0.7149</v>
      </c>
      <c r="X19" s="11">
        <f>X6</f>
        <v>0.002</v>
      </c>
      <c r="Y19" s="11">
        <v>0.002</v>
      </c>
      <c r="Z19" s="11">
        <v>1.432</v>
      </c>
      <c r="AA19" s="164"/>
      <c r="AB19" s="164"/>
      <c r="AE19" s="78">
        <f t="shared" si="1"/>
        <v>0.2142857142857143</v>
      </c>
      <c r="AF19" s="78">
        <f t="shared" si="2"/>
        <v>0.07272727272727272</v>
      </c>
      <c r="AG19" s="78">
        <f t="shared" si="3"/>
        <v>4.4222222222222225</v>
      </c>
      <c r="AH19" s="78">
        <f t="shared" si="4"/>
        <v>357.85714285714283</v>
      </c>
      <c r="AI19" s="78">
        <f t="shared" si="5"/>
        <v>0.7207142857142856</v>
      </c>
      <c r="AJ19" s="78">
        <f t="shared" si="6"/>
        <v>1.787907142857143</v>
      </c>
      <c r="AK19" s="78">
        <f t="shared" si="7"/>
        <v>0.486774193548387</v>
      </c>
      <c r="AL19" s="78">
        <f t="shared" si="8"/>
        <v>3.4</v>
      </c>
      <c r="AM19" s="78">
        <f t="shared" si="9"/>
        <v>41.010000000000005</v>
      </c>
      <c r="AN19" s="78">
        <f t="shared" si="10"/>
        <v>28.15833333333333</v>
      </c>
      <c r="AO19" s="78">
        <f t="shared" si="11"/>
        <v>131.91304347826085</v>
      </c>
      <c r="AP19" s="78">
        <f t="shared" si="12"/>
        <v>42.2375</v>
      </c>
      <c r="AQ19" s="78">
        <f t="shared" si="13"/>
        <v>128.31428571428572</v>
      </c>
      <c r="AR19" s="68">
        <f t="shared" si="14"/>
        <v>0.5495408738576248</v>
      </c>
      <c r="AS19" s="78">
        <f t="shared" si="15"/>
        <v>4.838709677419355</v>
      </c>
      <c r="AT19" s="78">
        <f t="shared" si="16"/>
        <v>44.68125</v>
      </c>
      <c r="AU19" s="78">
        <f t="shared" si="17"/>
        <v>0.06349206349206349</v>
      </c>
      <c r="AV19" s="78">
        <f t="shared" si="18"/>
        <v>0.061538461538461535</v>
      </c>
      <c r="AW19" s="68"/>
      <c r="AX19" s="68"/>
      <c r="AY19" s="68"/>
      <c r="AZ19" s="68">
        <f t="shared" si="19"/>
        <v>2.508621428571429</v>
      </c>
      <c r="BA19" s="103">
        <f t="shared" si="20"/>
        <v>205.20209109730845</v>
      </c>
      <c r="BB19" s="103">
        <f t="shared" si="21"/>
        <v>172.33969285714286</v>
      </c>
      <c r="BC19" s="27">
        <f t="shared" si="22"/>
        <v>8.704307612248368</v>
      </c>
      <c r="BD19" s="79">
        <f>(('[1]setup'!$B$13*'[1]setup'!$B$14*'[1]setup'!$B$15)/10^(-S19))*10^6</f>
        <v>21.577136231162672</v>
      </c>
      <c r="BE19" s="73">
        <f t="shared" si="23"/>
        <v>13.459571412905143</v>
      </c>
      <c r="BF19" s="74">
        <f t="shared" si="24"/>
        <v>32.86239824016562</v>
      </c>
      <c r="BG19" s="72">
        <f t="shared" si="25"/>
        <v>205.7516319711661</v>
      </c>
      <c r="BH19" s="72">
        <f t="shared" si="26"/>
        <v>207.37640050121067</v>
      </c>
      <c r="BI19" s="75">
        <f t="shared" si="27"/>
        <v>0.3932845031892661</v>
      </c>
      <c r="BJ19" s="58"/>
      <c r="BK19" s="92">
        <f>(3*('[1]setup'!$D$19*(10^-S19)^3)+2*('[1]setup'!$D$20*'[1]setup'!$D$19*((10^-S19)^2))+('[1]setup'!$D$21*'[1]setup'!$D$19*10^-S19)+('[1]setup'!$D$19*'[1]setup'!$D$22*(AP19/(10^6*2))*(10^-S19)^3))*10^6</f>
        <v>0.0007269748130446933</v>
      </c>
      <c r="BL19" s="93">
        <f t="shared" si="28"/>
        <v>11.835529857673606</v>
      </c>
      <c r="BM19" s="74">
        <f>(BL19/((('[1]setup'!$C$26)/10^-S19)+2*(('[1]setup'!$C$26*'[1]setup'!$C$27)/(10^-S19^2))+3*(('[1]setup'!$C$26*'[1]setup'!$C$27*'[1]setup'!$C$28)/(10^-S19^3))))/(10^-S19^3/(10^-S19^3+'[1]setup'!$C$26*10^-S19^2+'[1]setup'!$C$26*'[1]setup'!$C$27*10^-S19+'[1]setup'!$C$26*'[1]setup'!$C$27*'[1]setup'!$C$28))</f>
        <v>4.989916220750443</v>
      </c>
      <c r="BN19" s="74"/>
      <c r="BO19" s="123">
        <f t="shared" si="32"/>
        <v>205.20209109730848</v>
      </c>
      <c r="BP19" s="123">
        <f t="shared" si="29"/>
        <v>172.33969285714286</v>
      </c>
      <c r="BQ19" s="123">
        <f t="shared" si="0"/>
        <v>1.190683862175652</v>
      </c>
      <c r="BR19" s="123">
        <f t="shared" si="30"/>
        <v>32.14168395445131</v>
      </c>
      <c r="BS19" s="123">
        <f t="shared" si="31"/>
        <v>1.0280464310263036</v>
      </c>
      <c r="BT19" s="74"/>
      <c r="BV19" s="27" t="s">
        <v>64</v>
      </c>
      <c r="BW19" s="105"/>
      <c r="BX19" s="106"/>
      <c r="BY19" s="107"/>
      <c r="BZ19" s="107"/>
      <c r="CA19" s="106"/>
      <c r="CB19" s="108"/>
      <c r="CC19" s="104"/>
      <c r="CD19" s="107"/>
      <c r="CE19" s="109"/>
      <c r="CF19" s="114"/>
    </row>
    <row r="20" spans="1:84" s="95" customFormat="1" ht="12.75">
      <c r="A20" s="96">
        <v>38447</v>
      </c>
      <c r="B20" s="74">
        <v>16.3</v>
      </c>
      <c r="C20" s="26" t="s">
        <v>88</v>
      </c>
      <c r="D20" s="80">
        <v>832825</v>
      </c>
      <c r="E20" s="102"/>
      <c r="F20" s="82">
        <v>0.0199</v>
      </c>
      <c r="G20" s="11">
        <f>G6</f>
        <v>0.002</v>
      </c>
      <c r="H20" s="11">
        <v>0.1081</v>
      </c>
      <c r="I20" s="11">
        <v>2.471</v>
      </c>
      <c r="J20" s="11">
        <f>J6</f>
        <v>0.01</v>
      </c>
      <c r="K20" s="75">
        <v>0.0250456</v>
      </c>
      <c r="L20" s="11">
        <v>0.00508</v>
      </c>
      <c r="M20" s="11">
        <v>0.1159</v>
      </c>
      <c r="N20" s="11">
        <v>1.147</v>
      </c>
      <c r="O20" s="11">
        <v>0.365</v>
      </c>
      <c r="P20" s="11">
        <v>3.098</v>
      </c>
      <c r="Q20" s="75">
        <v>0.5792</v>
      </c>
      <c r="R20" s="75">
        <v>4.499</v>
      </c>
      <c r="S20" s="75">
        <v>6.4</v>
      </c>
      <c r="T20" s="75">
        <v>22</v>
      </c>
      <c r="U20" s="75">
        <v>28.448</v>
      </c>
      <c r="V20" s="85">
        <f>V6</f>
        <v>0.05</v>
      </c>
      <c r="W20" s="11">
        <v>0.6648</v>
      </c>
      <c r="X20" s="11">
        <f>X6</f>
        <v>0.002</v>
      </c>
      <c r="Y20" s="11">
        <v>0.00203</v>
      </c>
      <c r="Z20" s="11">
        <v>3.864</v>
      </c>
      <c r="AA20" s="164"/>
      <c r="AB20" s="164"/>
      <c r="AE20" s="78">
        <f t="shared" si="1"/>
        <v>0.7107142857142857</v>
      </c>
      <c r="AF20" s="78">
        <f t="shared" si="2"/>
        <v>0.07272727272727272</v>
      </c>
      <c r="AG20" s="78">
        <f t="shared" si="3"/>
        <v>12.011111111111111</v>
      </c>
      <c r="AH20" s="78">
        <f t="shared" si="4"/>
        <v>353.00000000000006</v>
      </c>
      <c r="AI20" s="78">
        <f t="shared" si="5"/>
        <v>0.7142857142857143</v>
      </c>
      <c r="AJ20" s="78">
        <f t="shared" si="6"/>
        <v>1.7889714285714287</v>
      </c>
      <c r="AK20" s="78">
        <f t="shared" si="7"/>
        <v>0.4916129032258064</v>
      </c>
      <c r="AL20" s="78">
        <f t="shared" si="8"/>
        <v>2.971794871794872</v>
      </c>
      <c r="AM20" s="78">
        <f t="shared" si="9"/>
        <v>57.35</v>
      </c>
      <c r="AN20" s="78">
        <f t="shared" si="10"/>
        <v>30.416666666666664</v>
      </c>
      <c r="AO20" s="78">
        <f t="shared" si="11"/>
        <v>134.69565217391306</v>
      </c>
      <c r="AP20" s="78">
        <f t="shared" si="12"/>
        <v>36.2</v>
      </c>
      <c r="AQ20" s="78">
        <f t="shared" si="13"/>
        <v>128.54285714285712</v>
      </c>
      <c r="AR20" s="68">
        <f t="shared" si="14"/>
        <v>0.39810717055349687</v>
      </c>
      <c r="AS20" s="78">
        <f t="shared" si="15"/>
        <v>4.838709677419355</v>
      </c>
      <c r="AT20" s="78">
        <f t="shared" si="16"/>
        <v>41.55</v>
      </c>
      <c r="AU20" s="78">
        <f t="shared" si="17"/>
        <v>0.06349206349206349</v>
      </c>
      <c r="AV20" s="78">
        <f t="shared" si="18"/>
        <v>0.06246153846153847</v>
      </c>
      <c r="AW20" s="68"/>
      <c r="AX20" s="68"/>
      <c r="AY20" s="68"/>
      <c r="AZ20" s="68">
        <f t="shared" si="19"/>
        <v>2.503257142857143</v>
      </c>
      <c r="BA20" s="103">
        <f t="shared" si="20"/>
        <v>226.14839942666032</v>
      </c>
      <c r="BB20" s="103">
        <f t="shared" si="21"/>
        <v>166.53182857142855</v>
      </c>
      <c r="BC20" s="27">
        <f t="shared" si="22"/>
        <v>15.181964001386369</v>
      </c>
      <c r="BD20" s="79">
        <f>(('[1]setup'!$B$13*'[1]setup'!$B$14*'[1]setup'!$B$15)/10^(-S20))*10^6</f>
        <v>29.784739328689806</v>
      </c>
      <c r="BE20" s="73">
        <f t="shared" si="23"/>
        <v>36.7024409438285</v>
      </c>
      <c r="BF20" s="74">
        <f t="shared" si="24"/>
        <v>59.61657085523177</v>
      </c>
      <c r="BG20" s="72">
        <f t="shared" si="25"/>
        <v>226.5465065972138</v>
      </c>
      <c r="BH20" s="72">
        <f t="shared" si="26"/>
        <v>233.01900884394684</v>
      </c>
      <c r="BI20" s="75">
        <f t="shared" si="27"/>
        <v>1.4083959803902475</v>
      </c>
      <c r="BJ20" s="58"/>
      <c r="BK20" s="92">
        <f>(3*('[1]setup'!$D$19*(10^-S20)^3)+2*('[1]setup'!$D$20*'[1]setup'!$D$19*((10^-S20)^2))+('[1]setup'!$D$21*'[1]setup'!$D$19*10^-S20)+('[1]setup'!$D$19*'[1]setup'!$D$22*(AP20/(10^6*2))*(10^-S20)^3))*10^6</f>
        <v>0.00047049715432732783</v>
      </c>
      <c r="BL20" s="93">
        <f t="shared" si="28"/>
        <v>30.230409194249802</v>
      </c>
      <c r="BM20" s="74">
        <f>(BL20/((('[1]setup'!$C$26)/10^-S20)+2*(('[1]setup'!$C$26*'[1]setup'!$C$27)/(10^-S20^2))+3*(('[1]setup'!$C$26*'[1]setup'!$C$27*'[1]setup'!$C$28)/(10^-S20^3))))/(10^-S20^3/(10^-S20^3+'[1]setup'!$C$26*10^-S20^2+'[1]setup'!$C$26*'[1]setup'!$C$27*10^-S20+'[1]setup'!$C$26*'[1]setup'!$C$27*'[1]setup'!$C$28))</f>
        <v>12.311370392291913</v>
      </c>
      <c r="BN20" s="74"/>
      <c r="BO20" s="123">
        <f t="shared" si="32"/>
        <v>226.14839942666032</v>
      </c>
      <c r="BP20" s="123">
        <f t="shared" si="29"/>
        <v>166.53182857142855</v>
      </c>
      <c r="BQ20" s="123">
        <f t="shared" si="0"/>
        <v>1.3579890484998856</v>
      </c>
      <c r="BR20" s="123">
        <f t="shared" si="30"/>
        <v>58.90228514094605</v>
      </c>
      <c r="BS20" s="123">
        <f t="shared" si="31"/>
        <v>1.0478657092880548</v>
      </c>
      <c r="BT20" s="74"/>
      <c r="BV20" s="27" t="s">
        <v>65</v>
      </c>
      <c r="BW20" s="105"/>
      <c r="BX20" s="106"/>
      <c r="BY20" s="107"/>
      <c r="BZ20" s="107"/>
      <c r="CA20" s="106"/>
      <c r="CB20" s="108"/>
      <c r="CC20" s="104"/>
      <c r="CD20" s="107"/>
      <c r="CE20" s="109"/>
      <c r="CF20" s="114"/>
    </row>
    <row r="21" spans="1:84" s="95" customFormat="1" ht="12.75">
      <c r="A21" s="96">
        <v>38461</v>
      </c>
      <c r="B21" s="74">
        <v>12.35</v>
      </c>
      <c r="C21" s="26" t="s">
        <v>89</v>
      </c>
      <c r="D21" s="80">
        <v>832826</v>
      </c>
      <c r="E21" s="102"/>
      <c r="F21" s="82">
        <v>0.0071</v>
      </c>
      <c r="G21" s="11">
        <f>G6</f>
        <v>0.002</v>
      </c>
      <c r="H21" s="11">
        <v>0.0737</v>
      </c>
      <c r="I21" s="11">
        <v>2.525</v>
      </c>
      <c r="J21" s="11">
        <f>J6</f>
        <v>0.01</v>
      </c>
      <c r="K21" s="75">
        <v>0.02504</v>
      </c>
      <c r="L21" s="11">
        <v>0.00508</v>
      </c>
      <c r="M21" s="11">
        <f>M6</f>
        <v>0.1</v>
      </c>
      <c r="N21" s="11">
        <v>0.9693</v>
      </c>
      <c r="O21" s="11">
        <v>0.3919</v>
      </c>
      <c r="P21" s="11">
        <v>3.218</v>
      </c>
      <c r="Q21" s="75">
        <v>0.6197</v>
      </c>
      <c r="R21" s="75">
        <v>4.73</v>
      </c>
      <c r="S21" s="75">
        <v>6.44</v>
      </c>
      <c r="T21" s="75">
        <v>21.9</v>
      </c>
      <c r="U21" s="75">
        <v>28.367</v>
      </c>
      <c r="V21" s="85">
        <f>V6</f>
        <v>0.05</v>
      </c>
      <c r="W21" s="11">
        <v>0.6702</v>
      </c>
      <c r="X21" s="11">
        <f>X6</f>
        <v>0.002</v>
      </c>
      <c r="Y21" s="11">
        <f>Y6</f>
        <v>0.002</v>
      </c>
      <c r="Z21" s="11">
        <v>2.185</v>
      </c>
      <c r="AA21" s="164"/>
      <c r="AB21" s="164"/>
      <c r="AE21" s="78">
        <f t="shared" si="1"/>
        <v>0.25357142857142856</v>
      </c>
      <c r="AF21" s="78">
        <f t="shared" si="2"/>
        <v>0.07272727272727272</v>
      </c>
      <c r="AG21" s="78">
        <f t="shared" si="3"/>
        <v>8.188888888888888</v>
      </c>
      <c r="AH21" s="78">
        <f t="shared" si="4"/>
        <v>360.7142857142857</v>
      </c>
      <c r="AI21" s="78">
        <f t="shared" si="5"/>
        <v>0.7142857142857143</v>
      </c>
      <c r="AJ21" s="78">
        <f t="shared" si="6"/>
        <v>1.7885714285714287</v>
      </c>
      <c r="AK21" s="78">
        <f t="shared" si="7"/>
        <v>0.4916129032258064</v>
      </c>
      <c r="AL21" s="78">
        <f t="shared" si="8"/>
        <v>2.5641025641025643</v>
      </c>
      <c r="AM21" s="78">
        <f t="shared" si="9"/>
        <v>48.465</v>
      </c>
      <c r="AN21" s="78">
        <f t="shared" si="10"/>
        <v>32.65833333333334</v>
      </c>
      <c r="AO21" s="78">
        <f t="shared" si="11"/>
        <v>139.91304347826087</v>
      </c>
      <c r="AP21" s="78">
        <f t="shared" si="12"/>
        <v>38.73125</v>
      </c>
      <c r="AQ21" s="78">
        <f t="shared" si="13"/>
        <v>135.14285714285714</v>
      </c>
      <c r="AR21" s="68">
        <f t="shared" si="14"/>
        <v>0.363078054770101</v>
      </c>
      <c r="AS21" s="78">
        <f t="shared" si="15"/>
        <v>4.838709677419355</v>
      </c>
      <c r="AT21" s="78">
        <f t="shared" si="16"/>
        <v>41.8875</v>
      </c>
      <c r="AU21" s="78">
        <f t="shared" si="17"/>
        <v>0.06349206349206349</v>
      </c>
      <c r="AV21" s="78">
        <f t="shared" si="18"/>
        <v>0.061538461538461535</v>
      </c>
      <c r="AW21" s="68"/>
      <c r="AX21" s="68"/>
      <c r="AY21" s="68"/>
      <c r="AZ21" s="68">
        <f t="shared" si="19"/>
        <v>2.502857142857143</v>
      </c>
      <c r="BA21" s="103">
        <f t="shared" si="20"/>
        <v>224.3147650899825</v>
      </c>
      <c r="BB21" s="103">
        <f t="shared" si="21"/>
        <v>175.66267857142856</v>
      </c>
      <c r="BC21" s="27">
        <f t="shared" si="22"/>
        <v>12.163707551403553</v>
      </c>
      <c r="BD21" s="79">
        <f>(('[1]setup'!$B$13*'[1]setup'!$B$14*'[1]setup'!$B$15)/10^(-S21))*10^6</f>
        <v>32.658317251716774</v>
      </c>
      <c r="BE21" s="73">
        <f t="shared" si="23"/>
        <v>20.810528219228704</v>
      </c>
      <c r="BF21" s="74">
        <f t="shared" si="24"/>
        <v>48.652086518553915</v>
      </c>
      <c r="BG21" s="72">
        <f t="shared" si="25"/>
        <v>224.67784314475261</v>
      </c>
      <c r="BH21" s="72">
        <f t="shared" si="26"/>
        <v>229.13152404237405</v>
      </c>
      <c r="BI21" s="75">
        <f t="shared" si="27"/>
        <v>0.9813990674601875</v>
      </c>
      <c r="BJ21" s="58"/>
      <c r="BK21" s="92">
        <f>(3*('[1]setup'!$D$19*(10^-S21)^3)+2*('[1]setup'!$D$20*'[1]setup'!$D$19*((10^-S21)^2))+('[1]setup'!$D$21*'[1]setup'!$D$19*10^-S21)+('[1]setup'!$D$19*'[1]setup'!$D$22*(AP21/(10^6*2))*(10^-S21)^3))*10^6</f>
        <v>0.00041797942385476104</v>
      </c>
      <c r="BL21" s="93">
        <f t="shared" si="28"/>
        <v>16.357265301031106</v>
      </c>
      <c r="BM21" s="74">
        <f>(BL21/((('[1]setup'!$C$26)/10^-S21)+2*(('[1]setup'!$C$26*'[1]setup'!$C$27)/(10^-S21^2))+3*(('[1]setup'!$C$26*'[1]setup'!$C$27*'[1]setup'!$C$28)/(10^-S21^3))))/(10^-S21^3/(10^-S21^3+'[1]setup'!$C$26*10^-S21^2+'[1]setup'!$C$26*'[1]setup'!$C$27*10^-S21+'[1]setup'!$C$26*'[1]setup'!$C$27*'[1]setup'!$C$28))</f>
        <v>6.59675880301325</v>
      </c>
      <c r="BN21" s="74"/>
      <c r="BO21" s="123">
        <f t="shared" si="32"/>
        <v>224.3147650899825</v>
      </c>
      <c r="BP21" s="123">
        <f t="shared" si="29"/>
        <v>175.66267857142856</v>
      </c>
      <c r="BQ21" s="123">
        <f t="shared" si="0"/>
        <v>1.2769631370431989</v>
      </c>
      <c r="BR21" s="123">
        <f t="shared" si="30"/>
        <v>47.93780080426822</v>
      </c>
      <c r="BS21" s="123">
        <f t="shared" si="31"/>
        <v>1.0352973618898798</v>
      </c>
      <c r="BT21" s="74"/>
      <c r="BV21" s="27" t="s">
        <v>90</v>
      </c>
      <c r="BW21" s="105"/>
      <c r="BX21" s="106"/>
      <c r="BY21" s="107"/>
      <c r="BZ21" s="107"/>
      <c r="CA21" s="106"/>
      <c r="CB21" s="108"/>
      <c r="CC21" s="104"/>
      <c r="CD21" s="107"/>
      <c r="CE21" s="109"/>
      <c r="CF21" s="114"/>
    </row>
    <row r="22" spans="1:84" s="95" customFormat="1" ht="12.75">
      <c r="A22" s="96">
        <v>38475</v>
      </c>
      <c r="B22" s="74">
        <v>13.3</v>
      </c>
      <c r="C22" s="26" t="s">
        <v>91</v>
      </c>
      <c r="D22" s="80">
        <v>832827</v>
      </c>
      <c r="E22" s="24"/>
      <c r="F22" s="82">
        <v>0.0113</v>
      </c>
      <c r="G22" s="11">
        <f>G6</f>
        <v>0.002</v>
      </c>
      <c r="H22" s="11">
        <v>0.0602</v>
      </c>
      <c r="I22" s="11">
        <v>2.797</v>
      </c>
      <c r="J22" s="11">
        <f>J6</f>
        <v>0.01</v>
      </c>
      <c r="K22" s="75">
        <v>0.0250923</v>
      </c>
      <c r="L22" s="11">
        <v>0.00508</v>
      </c>
      <c r="M22" s="11">
        <v>0.10007</v>
      </c>
      <c r="N22" s="11">
        <v>1.114</v>
      </c>
      <c r="O22" s="11">
        <v>0.4088</v>
      </c>
      <c r="P22" s="11">
        <v>3.225</v>
      </c>
      <c r="Q22" s="75">
        <v>0.6089</v>
      </c>
      <c r="R22" s="75">
        <v>4.42</v>
      </c>
      <c r="S22" s="75">
        <v>6.64</v>
      </c>
      <c r="T22" s="75">
        <v>21.8</v>
      </c>
      <c r="U22" s="75">
        <v>29.074</v>
      </c>
      <c r="V22" s="11">
        <f>V6</f>
        <v>0.05</v>
      </c>
      <c r="W22" s="11">
        <v>0.6688</v>
      </c>
      <c r="X22" s="11">
        <f>X6</f>
        <v>0.002</v>
      </c>
      <c r="Y22" s="11">
        <f>Y6</f>
        <v>0.002</v>
      </c>
      <c r="Z22" s="11">
        <v>2.057</v>
      </c>
      <c r="AA22" s="164"/>
      <c r="AB22" s="164"/>
      <c r="AE22" s="78">
        <f t="shared" si="1"/>
        <v>0.4035714285714285</v>
      </c>
      <c r="AF22" s="78">
        <f t="shared" si="2"/>
        <v>0.07272727272727272</v>
      </c>
      <c r="AG22" s="78">
        <f t="shared" si="3"/>
        <v>6.688888888888888</v>
      </c>
      <c r="AH22" s="78">
        <f t="shared" si="4"/>
        <v>399.57142857142856</v>
      </c>
      <c r="AI22" s="78">
        <f t="shared" si="5"/>
        <v>0.7142857142857143</v>
      </c>
      <c r="AJ22" s="78">
        <f t="shared" si="6"/>
        <v>1.7923071428571429</v>
      </c>
      <c r="AK22" s="78">
        <f t="shared" si="7"/>
        <v>0.4916129032258064</v>
      </c>
      <c r="AL22" s="78">
        <f t="shared" si="8"/>
        <v>2.565897435897436</v>
      </c>
      <c r="AM22" s="78">
        <f t="shared" si="9"/>
        <v>55.70000000000001</v>
      </c>
      <c r="AN22" s="78">
        <f t="shared" si="10"/>
        <v>34.06666666666667</v>
      </c>
      <c r="AO22" s="78">
        <f t="shared" si="11"/>
        <v>140.2173913043478</v>
      </c>
      <c r="AP22" s="78">
        <f t="shared" si="12"/>
        <v>38.05625</v>
      </c>
      <c r="AQ22" s="78">
        <f t="shared" si="13"/>
        <v>126.28571428571428</v>
      </c>
      <c r="AR22" s="68">
        <f t="shared" si="14"/>
        <v>0.22908676527677743</v>
      </c>
      <c r="AS22" s="78">
        <f t="shared" si="15"/>
        <v>4.838709677419355</v>
      </c>
      <c r="AT22" s="78">
        <f t="shared" si="16"/>
        <v>41.8</v>
      </c>
      <c r="AU22" s="78">
        <f t="shared" si="17"/>
        <v>0.06349206349206349</v>
      </c>
      <c r="AV22" s="78">
        <f t="shared" si="18"/>
        <v>0.061538461538461535</v>
      </c>
      <c r="AW22" s="68"/>
      <c r="AX22" s="68"/>
      <c r="AY22" s="68"/>
      <c r="AZ22" s="68">
        <f t="shared" si="19"/>
        <v>2.506592857142857</v>
      </c>
      <c r="BA22" s="103">
        <f t="shared" si="20"/>
        <v>233.26424112119764</v>
      </c>
      <c r="BB22" s="103">
        <f t="shared" si="21"/>
        <v>166.13427142857142</v>
      </c>
      <c r="BC22" s="27">
        <f t="shared" si="22"/>
        <v>16.807766574809452</v>
      </c>
      <c r="BD22" s="79">
        <f>(('[1]setup'!$B$13*'[1]setup'!$B$14*'[1]setup'!$B$15)/10^(-S22))*10^6</f>
        <v>51.75994468948116</v>
      </c>
      <c r="BE22" s="73">
        <f t="shared" si="23"/>
        <v>19.822412370115853</v>
      </c>
      <c r="BF22" s="74">
        <f t="shared" si="24"/>
        <v>67.12996969262622</v>
      </c>
      <c r="BG22" s="72">
        <f t="shared" si="25"/>
        <v>233.49332788647442</v>
      </c>
      <c r="BH22" s="72">
        <f t="shared" si="26"/>
        <v>237.71662848816842</v>
      </c>
      <c r="BI22" s="75">
        <f t="shared" si="27"/>
        <v>0.8962672678198262</v>
      </c>
      <c r="BJ22" s="58"/>
      <c r="BK22" s="92">
        <f>(3*('[1]setup'!$D$19*(10^-S22)^3)+2*('[1]setup'!$D$20*'[1]setup'!$D$19*((10^-S22)^2))+('[1]setup'!$D$21*'[1]setup'!$D$19*10^-S22)+('[1]setup'!$D$19*'[1]setup'!$D$22*(AP22/(10^6*2))*(10^-S22)^3))*10^6</f>
        <v>0.0002384411449130437</v>
      </c>
      <c r="BL22" s="93">
        <f t="shared" si="28"/>
        <v>15.599350209566751</v>
      </c>
      <c r="BM22" s="74">
        <f>(BL22/((('[1]setup'!$C$26)/10^-S22)+2*(('[1]setup'!$C$26*'[1]setup'!$C$27)/(10^-S22^2))+3*(('[1]setup'!$C$26*'[1]setup'!$C$27*'[1]setup'!$C$28)/(10^-S22^3))))/(10^-S22^3/(10^-S22^3+'[1]setup'!$C$26*10^-S22^2+'[1]setup'!$C$26*'[1]setup'!$C$27*10^-S22+'[1]setup'!$C$26*'[1]setup'!$C$27*'[1]setup'!$C$28))</f>
        <v>6.005651982570262</v>
      </c>
      <c r="BN22" s="74"/>
      <c r="BO22" s="123">
        <f t="shared" si="32"/>
        <v>233.26424112119764</v>
      </c>
      <c r="BP22" s="123">
        <f t="shared" si="29"/>
        <v>166.13427142857142</v>
      </c>
      <c r="BQ22" s="123">
        <f t="shared" si="0"/>
        <v>1.4040705696385372</v>
      </c>
      <c r="BR22" s="123">
        <f t="shared" si="30"/>
        <v>66.4156839783405</v>
      </c>
      <c r="BS22" s="123">
        <f t="shared" si="31"/>
        <v>1.1103187094235687</v>
      </c>
      <c r="BT22" s="74"/>
      <c r="BU22" s="67" t="s">
        <v>115</v>
      </c>
      <c r="BV22" s="27" t="s">
        <v>92</v>
      </c>
      <c r="BW22" s="105"/>
      <c r="BX22" s="106"/>
      <c r="BY22" s="107"/>
      <c r="BZ22" s="107"/>
      <c r="CA22" s="106"/>
      <c r="CB22" s="108"/>
      <c r="CC22" s="104"/>
      <c r="CD22" s="107"/>
      <c r="CE22" s="109"/>
      <c r="CF22" s="114"/>
    </row>
    <row r="23" spans="1:84" s="95" customFormat="1" ht="12.75">
      <c r="A23" s="96">
        <v>38489</v>
      </c>
      <c r="B23" s="74">
        <v>12.35</v>
      </c>
      <c r="C23" s="26" t="s">
        <v>93</v>
      </c>
      <c r="D23" s="80">
        <v>832828</v>
      </c>
      <c r="E23" s="102"/>
      <c r="F23" s="82">
        <v>0.0084</v>
      </c>
      <c r="G23" s="11">
        <f>G6</f>
        <v>0.002</v>
      </c>
      <c r="H23" s="11">
        <v>0.0225</v>
      </c>
      <c r="I23" s="11">
        <v>3.082</v>
      </c>
      <c r="J23" s="11">
        <f>J6</f>
        <v>0.01</v>
      </c>
      <c r="K23" s="75">
        <f>K6</f>
        <v>0.025</v>
      </c>
      <c r="L23" s="11">
        <v>0.0256</v>
      </c>
      <c r="M23" s="11">
        <f>M6</f>
        <v>0.1</v>
      </c>
      <c r="N23" s="11">
        <v>1.17</v>
      </c>
      <c r="O23" s="11">
        <v>0.3977</v>
      </c>
      <c r="P23" s="11">
        <v>3.373</v>
      </c>
      <c r="Q23" s="75">
        <v>0.6866</v>
      </c>
      <c r="R23" s="75">
        <v>4.282</v>
      </c>
      <c r="S23" s="75">
        <v>6.74</v>
      </c>
      <c r="T23" s="75">
        <v>21.8</v>
      </c>
      <c r="U23" s="75">
        <v>29.894</v>
      </c>
      <c r="V23" s="85">
        <f>V6</f>
        <v>0.05</v>
      </c>
      <c r="W23" s="11">
        <v>0.7474</v>
      </c>
      <c r="X23" s="11">
        <f>X6</f>
        <v>0.002</v>
      </c>
      <c r="Y23" s="11">
        <f>Y6</f>
        <v>0.002</v>
      </c>
      <c r="Z23" s="11">
        <v>1.201</v>
      </c>
      <c r="AA23" s="164"/>
      <c r="AB23" s="164"/>
      <c r="AE23" s="78">
        <f t="shared" si="1"/>
        <v>0.3</v>
      </c>
      <c r="AF23" s="78">
        <f t="shared" si="2"/>
        <v>0.07272727272727272</v>
      </c>
      <c r="AG23" s="78">
        <f t="shared" si="3"/>
        <v>2.4999999999999996</v>
      </c>
      <c r="AH23" s="78">
        <f t="shared" si="4"/>
        <v>440.2857142857143</v>
      </c>
      <c r="AI23" s="78">
        <f t="shared" si="5"/>
        <v>0.7142857142857143</v>
      </c>
      <c r="AJ23" s="78">
        <f t="shared" si="6"/>
        <v>1.7857142857142858</v>
      </c>
      <c r="AK23" s="78">
        <f t="shared" si="7"/>
        <v>2.4774193548387093</v>
      </c>
      <c r="AL23" s="78">
        <f t="shared" si="8"/>
        <v>2.5641025641025643</v>
      </c>
      <c r="AM23" s="78">
        <f t="shared" si="9"/>
        <v>58.5</v>
      </c>
      <c r="AN23" s="78">
        <f t="shared" si="10"/>
        <v>33.141666666666666</v>
      </c>
      <c r="AO23" s="78">
        <f t="shared" si="11"/>
        <v>146.6521739130435</v>
      </c>
      <c r="AP23" s="78">
        <f t="shared" si="12"/>
        <v>42.9125</v>
      </c>
      <c r="AQ23" s="78">
        <f t="shared" si="13"/>
        <v>122.34285714285714</v>
      </c>
      <c r="AR23" s="68">
        <f t="shared" si="14"/>
        <v>0.18197008586099822</v>
      </c>
      <c r="AS23" s="78">
        <f t="shared" si="15"/>
        <v>4.838709677419355</v>
      </c>
      <c r="AT23" s="78">
        <f t="shared" si="16"/>
        <v>46.7125</v>
      </c>
      <c r="AU23" s="78">
        <f t="shared" si="17"/>
        <v>0.06349206349206349</v>
      </c>
      <c r="AV23" s="78">
        <f t="shared" si="18"/>
        <v>0.061538461538461535</v>
      </c>
      <c r="AW23" s="68"/>
      <c r="AX23" s="68"/>
      <c r="AY23" s="68"/>
      <c r="AZ23" s="68">
        <f t="shared" si="19"/>
        <v>2.5</v>
      </c>
      <c r="BA23" s="103">
        <f t="shared" si="20"/>
        <v>241.57222885809844</v>
      </c>
      <c r="BB23" s="103">
        <f t="shared" si="21"/>
        <v>167.04107142857143</v>
      </c>
      <c r="BC23" s="27">
        <f t="shared" si="22"/>
        <v>18.24002238234496</v>
      </c>
      <c r="BD23" s="79">
        <f>(('[1]setup'!$B$13*'[1]setup'!$B$14*'[1]setup'!$B$15)/10^(-S23))*10^6</f>
        <v>65.16190968264843</v>
      </c>
      <c r="BE23" s="73">
        <f t="shared" si="23"/>
        <v>11.629898550030086</v>
      </c>
      <c r="BF23" s="74">
        <f t="shared" si="24"/>
        <v>74.53115742952701</v>
      </c>
      <c r="BG23" s="72">
        <f t="shared" si="25"/>
        <v>241.75419894395944</v>
      </c>
      <c r="BH23" s="72">
        <f t="shared" si="26"/>
        <v>243.83287966124993</v>
      </c>
      <c r="BI23" s="75">
        <f t="shared" si="27"/>
        <v>0.4280757888495008</v>
      </c>
      <c r="BJ23" s="58"/>
      <c r="BK23" s="92">
        <f>(3*('[1]setup'!$D$19*(10^-S23)^3)+2*('[1]setup'!$D$20*'[1]setup'!$D$19*((10^-S23)^2))+('[1]setup'!$D$21*'[1]setup'!$D$19*10^-S23)+('[1]setup'!$D$19*'[1]setup'!$D$22*(AP23/(10^6*2))*(10^-S23)^3))*10^6</f>
        <v>0.0001828074427307521</v>
      </c>
      <c r="BL23" s="93">
        <f t="shared" si="28"/>
        <v>9.551400640182322</v>
      </c>
      <c r="BM23" s="74">
        <f>(BL23/((('[1]setup'!$C$26)/10^-S23)+2*(('[1]setup'!$C$26*'[1]setup'!$C$27)/(10^-S23^2))+3*(('[1]setup'!$C$26*'[1]setup'!$C$27*'[1]setup'!$C$28)/(10^-S23^3))))/(10^-S23^3/(10^-S23^3+'[1]setup'!$C$26*10^-S23^2+'[1]setup'!$C$26*'[1]setup'!$C$27*10^-S23+'[1]setup'!$C$26*'[1]setup'!$C$27*'[1]setup'!$C$28))</f>
        <v>3.6009452238796804</v>
      </c>
      <c r="BN23" s="74"/>
      <c r="BO23" s="123">
        <f t="shared" si="32"/>
        <v>241.57222885809844</v>
      </c>
      <c r="BP23" s="123">
        <f t="shared" si="29"/>
        <v>167.04107142857143</v>
      </c>
      <c r="BQ23" s="123">
        <f t="shared" si="0"/>
        <v>1.4461846226926134</v>
      </c>
      <c r="BR23" s="123">
        <f t="shared" si="30"/>
        <v>73.81687171524129</v>
      </c>
      <c r="BS23" s="123">
        <f t="shared" si="31"/>
        <v>1.1986982921430458</v>
      </c>
      <c r="BT23" s="74"/>
      <c r="BV23" s="27" t="s">
        <v>94</v>
      </c>
      <c r="BW23" s="105"/>
      <c r="BX23" s="106"/>
      <c r="BY23" s="107"/>
      <c r="BZ23" s="107"/>
      <c r="CA23" s="106"/>
      <c r="CB23" s="108"/>
      <c r="CC23" s="104"/>
      <c r="CD23" s="107"/>
      <c r="CE23" s="109"/>
      <c r="CF23" s="114"/>
    </row>
    <row r="24" spans="1:84" s="67" customFormat="1" ht="12.75">
      <c r="A24" s="96">
        <v>38503</v>
      </c>
      <c r="B24" s="74">
        <v>11.25</v>
      </c>
      <c r="C24" s="26" t="s">
        <v>95</v>
      </c>
      <c r="D24" s="80">
        <v>832829</v>
      </c>
      <c r="E24" s="102"/>
      <c r="F24" s="82">
        <v>0.0317</v>
      </c>
      <c r="G24" s="11">
        <v>0.0021</v>
      </c>
      <c r="H24" s="11">
        <v>0.2258</v>
      </c>
      <c r="I24" s="11">
        <v>2.066</v>
      </c>
      <c r="J24" s="11">
        <f>J6</f>
        <v>0.01</v>
      </c>
      <c r="K24" s="75">
        <v>0.0250959</v>
      </c>
      <c r="L24" s="11">
        <v>0.00507</v>
      </c>
      <c r="M24" s="11">
        <f>M6</f>
        <v>0.1</v>
      </c>
      <c r="N24" s="11">
        <v>0.8447</v>
      </c>
      <c r="O24" s="11">
        <v>0.3514</v>
      </c>
      <c r="P24" s="11">
        <v>2.967</v>
      </c>
      <c r="Q24" s="75">
        <v>0.434</v>
      </c>
      <c r="R24" s="75">
        <v>4.407</v>
      </c>
      <c r="S24" s="75">
        <v>5.95</v>
      </c>
      <c r="T24" s="75">
        <v>21.6</v>
      </c>
      <c r="U24" s="75">
        <v>25.863</v>
      </c>
      <c r="V24" s="85">
        <f>V6</f>
        <v>0.05</v>
      </c>
      <c r="W24" s="11">
        <v>0.5213</v>
      </c>
      <c r="X24" s="11">
        <f>X6</f>
        <v>0.002</v>
      </c>
      <c r="Y24" s="11">
        <v>0.00207</v>
      </c>
      <c r="Z24" s="11">
        <v>6.399</v>
      </c>
      <c r="AA24" s="165"/>
      <c r="AB24" s="165"/>
      <c r="AE24" s="78">
        <f t="shared" si="1"/>
        <v>1.1321428571428571</v>
      </c>
      <c r="AF24" s="78">
        <f t="shared" si="2"/>
        <v>0.07636363636363636</v>
      </c>
      <c r="AG24" s="78">
        <f t="shared" si="3"/>
        <v>25.08888888888889</v>
      </c>
      <c r="AH24" s="78">
        <f t="shared" si="4"/>
        <v>295.1428571428571</v>
      </c>
      <c r="AI24" s="78">
        <f t="shared" si="5"/>
        <v>0.7142857142857143</v>
      </c>
      <c r="AJ24" s="78">
        <f t="shared" si="6"/>
        <v>1.7925642857142858</v>
      </c>
      <c r="AK24" s="78">
        <f t="shared" si="7"/>
        <v>0.49064516129032254</v>
      </c>
      <c r="AL24" s="78">
        <f t="shared" si="8"/>
        <v>2.5641025641025643</v>
      </c>
      <c r="AM24" s="78">
        <f t="shared" si="9"/>
        <v>42.235</v>
      </c>
      <c r="AN24" s="78">
        <f t="shared" si="10"/>
        <v>29.28333333333333</v>
      </c>
      <c r="AO24" s="78">
        <f t="shared" si="11"/>
        <v>129</v>
      </c>
      <c r="AP24" s="78">
        <f t="shared" si="12"/>
        <v>27.125</v>
      </c>
      <c r="AQ24" s="78">
        <f t="shared" si="13"/>
        <v>125.91428571428573</v>
      </c>
      <c r="AR24" s="68">
        <f t="shared" si="14"/>
        <v>1.122018454301963</v>
      </c>
      <c r="AS24" s="78">
        <f t="shared" si="15"/>
        <v>4.838709677419355</v>
      </c>
      <c r="AT24" s="78">
        <f t="shared" si="16"/>
        <v>32.58125</v>
      </c>
      <c r="AU24" s="78">
        <f t="shared" si="17"/>
        <v>0.06349206349206349</v>
      </c>
      <c r="AV24" s="78">
        <f t="shared" si="18"/>
        <v>0.06369230769230769</v>
      </c>
      <c r="AW24" s="68"/>
      <c r="AX24" s="68"/>
      <c r="AY24" s="68"/>
      <c r="AZ24" s="68">
        <f t="shared" si="19"/>
        <v>2.50685</v>
      </c>
      <c r="BA24" s="103">
        <f t="shared" si="20"/>
        <v>203.7967216117216</v>
      </c>
      <c r="BB24" s="103">
        <f t="shared" si="21"/>
        <v>154.83185</v>
      </c>
      <c r="BC24" s="27">
        <f t="shared" si="22"/>
        <v>13.653366041547486</v>
      </c>
      <c r="BD24" s="79">
        <f>(('[1]setup'!$B$13*'[1]setup'!$B$14*'[1]setup'!$B$15)/10^(-S24))*10^6</f>
        <v>10.56802430865099</v>
      </c>
      <c r="BE24" s="73">
        <f t="shared" si="23"/>
        <v>58.36107120814367</v>
      </c>
      <c r="BF24" s="74">
        <f t="shared" si="24"/>
        <v>48.964871611721605</v>
      </c>
      <c r="BG24" s="72">
        <f t="shared" si="25"/>
        <v>204.91874006602356</v>
      </c>
      <c r="BH24" s="72">
        <f t="shared" si="26"/>
        <v>223.76094551679466</v>
      </c>
      <c r="BI24" s="75">
        <f t="shared" si="27"/>
        <v>4.395404327395147</v>
      </c>
      <c r="BJ24" s="58"/>
      <c r="BK24" s="92">
        <f>(3*('[1]setup'!$D$19*(10^-S24)^3)+2*('[1]setup'!$D$20*'[1]setup'!$D$19*((10^-S24)^2))+('[1]setup'!$D$21*'[1]setup'!$D$19*10^-S24)+('[1]setup'!$D$19*'[1]setup'!$D$22*(AP24/(10^6*2))*(10^-S24)^3))*10^6</f>
        <v>0.002221798913748365</v>
      </c>
      <c r="BL24" s="93">
        <f t="shared" si="28"/>
        <v>39.52108755628632</v>
      </c>
      <c r="BM24" s="74">
        <f>(BL24/((('[1]setup'!$C$26)/10^-S24)+2*(('[1]setup'!$C$26*'[1]setup'!$C$27)/(10^-S24^2))+3*(('[1]setup'!$C$26*'[1]setup'!$C$27*'[1]setup'!$C$28)/(10^-S24^3))))/(10^-S24^3/(10^-S24^3+'[1]setup'!$C$26*10^-S24^2+'[1]setup'!$C$26*'[1]setup'!$C$27*10^-S24+'[1]setup'!$C$26*'[1]setup'!$C$27*'[1]setup'!$C$28))</f>
        <v>17.942574223899005</v>
      </c>
      <c r="BN24" s="74"/>
      <c r="BO24" s="123">
        <f t="shared" si="32"/>
        <v>203.7967216117216</v>
      </c>
      <c r="BP24" s="123">
        <f t="shared" si="29"/>
        <v>154.83185</v>
      </c>
      <c r="BQ24" s="123">
        <f t="shared" si="0"/>
        <v>1.3162454728256596</v>
      </c>
      <c r="BR24" s="123">
        <f t="shared" si="30"/>
        <v>48.25058589743588</v>
      </c>
      <c r="BS24" s="123">
        <f t="shared" si="31"/>
        <v>1.0245064669843431</v>
      </c>
      <c r="BT24" s="74"/>
      <c r="BV24" s="27" t="s">
        <v>96</v>
      </c>
      <c r="BW24" s="105"/>
      <c r="BX24" s="106"/>
      <c r="BY24" s="107"/>
      <c r="BZ24" s="107"/>
      <c r="CA24" s="106"/>
      <c r="CB24" s="108"/>
      <c r="CC24" s="104"/>
      <c r="CD24" s="107"/>
      <c r="CE24" s="109"/>
      <c r="CF24" s="115"/>
    </row>
    <row r="25" spans="1:84" s="67" customFormat="1" ht="12.75">
      <c r="A25" s="96">
        <v>38517</v>
      </c>
      <c r="B25" s="74">
        <v>12</v>
      </c>
      <c r="C25" s="26" t="s">
        <v>97</v>
      </c>
      <c r="D25" s="80">
        <v>832830</v>
      </c>
      <c r="E25" s="24"/>
      <c r="F25" s="82">
        <v>0.0394</v>
      </c>
      <c r="G25" s="11">
        <f>G6</f>
        <v>0.002</v>
      </c>
      <c r="H25" s="11">
        <v>0.2202</v>
      </c>
      <c r="I25" s="11">
        <v>2.051</v>
      </c>
      <c r="J25" s="11">
        <v>0.0102</v>
      </c>
      <c r="K25" s="75">
        <f>K6</f>
        <v>0.025</v>
      </c>
      <c r="L25" s="11">
        <v>0.00506</v>
      </c>
      <c r="M25" s="11">
        <f>M6</f>
        <v>0.1</v>
      </c>
      <c r="N25" s="11">
        <v>0.9728</v>
      </c>
      <c r="O25" s="11">
        <v>0.3744</v>
      </c>
      <c r="P25" s="11">
        <v>2.851</v>
      </c>
      <c r="Q25" s="75">
        <v>0.426</v>
      </c>
      <c r="R25" s="75">
        <v>3.816</v>
      </c>
      <c r="S25" s="75">
        <v>6.17</v>
      </c>
      <c r="T25" s="75">
        <v>21.8</v>
      </c>
      <c r="U25" s="75">
        <v>24.761</v>
      </c>
      <c r="V25" s="11">
        <f>V6</f>
        <v>0.05</v>
      </c>
      <c r="W25" s="11">
        <v>0.528</v>
      </c>
      <c r="X25" s="11">
        <f>X6</f>
        <v>0.002</v>
      </c>
      <c r="Y25" s="11">
        <v>0.00207</v>
      </c>
      <c r="Z25" s="11">
        <v>7.319</v>
      </c>
      <c r="AA25" s="163"/>
      <c r="AB25" s="163"/>
      <c r="AE25" s="78">
        <f t="shared" si="1"/>
        <v>1.407142857142857</v>
      </c>
      <c r="AF25" s="78">
        <f t="shared" si="2"/>
        <v>0.07272727272727272</v>
      </c>
      <c r="AG25" s="78">
        <f t="shared" si="3"/>
        <v>24.466666666666672</v>
      </c>
      <c r="AH25" s="78">
        <f t="shared" si="4"/>
        <v>293.00000000000006</v>
      </c>
      <c r="AI25" s="78">
        <f t="shared" si="5"/>
        <v>0.7285714285714285</v>
      </c>
      <c r="AJ25" s="78">
        <f t="shared" si="6"/>
        <v>1.7857142857142858</v>
      </c>
      <c r="AK25" s="78">
        <f t="shared" si="7"/>
        <v>0.4896774193548388</v>
      </c>
      <c r="AL25" s="78">
        <f t="shared" si="8"/>
        <v>2.5641025641025643</v>
      </c>
      <c r="AM25" s="78">
        <f t="shared" si="9"/>
        <v>48.64</v>
      </c>
      <c r="AN25" s="78">
        <f t="shared" si="10"/>
        <v>31.200000000000003</v>
      </c>
      <c r="AO25" s="78">
        <f t="shared" si="11"/>
        <v>123.95652173913044</v>
      </c>
      <c r="AP25" s="78">
        <f t="shared" si="12"/>
        <v>26.625</v>
      </c>
      <c r="AQ25" s="78">
        <f t="shared" si="13"/>
        <v>109.02857142857142</v>
      </c>
      <c r="AR25" s="68">
        <f t="shared" si="14"/>
        <v>0.6760829753919818</v>
      </c>
      <c r="AS25" s="78">
        <f t="shared" si="15"/>
        <v>4.838709677419355</v>
      </c>
      <c r="AT25" s="78">
        <f t="shared" si="16"/>
        <v>33</v>
      </c>
      <c r="AU25" s="78">
        <f t="shared" si="17"/>
        <v>0.06349206349206349</v>
      </c>
      <c r="AV25" s="78">
        <f t="shared" si="18"/>
        <v>0.06369230769230769</v>
      </c>
      <c r="AW25" s="68"/>
      <c r="AX25" s="68"/>
      <c r="AY25" s="68"/>
      <c r="AZ25" s="68">
        <f t="shared" si="19"/>
        <v>2.5142857142857142</v>
      </c>
      <c r="BA25" s="103">
        <f t="shared" si="20"/>
        <v>207.08919573180444</v>
      </c>
      <c r="BB25" s="103">
        <f t="shared" si="21"/>
        <v>137.43928571428572</v>
      </c>
      <c r="BC25" s="27">
        <f t="shared" si="22"/>
        <v>20.21600934853833</v>
      </c>
      <c r="BD25" s="79">
        <f>(('[1]setup'!$B$13*'[1]setup'!$B$14*'[1]setup'!$B$15)/10^(-S25))*10^6</f>
        <v>17.538554780119053</v>
      </c>
      <c r="BE25" s="73">
        <f t="shared" si="23"/>
        <v>68.26389182597659</v>
      </c>
      <c r="BF25" s="74">
        <f t="shared" si="24"/>
        <v>69.64991001751875</v>
      </c>
      <c r="BG25" s="72">
        <f t="shared" si="25"/>
        <v>207.76527870719642</v>
      </c>
      <c r="BH25" s="72">
        <f t="shared" si="26"/>
        <v>223.24173232038135</v>
      </c>
      <c r="BI25" s="75">
        <f t="shared" si="27"/>
        <v>3.5907660936389454</v>
      </c>
      <c r="BJ25" s="58"/>
      <c r="BK25" s="92">
        <f>(3*('[1]setup'!$D$19*(10^-S25)^3)+2*('[1]setup'!$D$20*'[1]setup'!$D$19*((10^-S25)^2))+('[1]setup'!$D$21*'[1]setup'!$D$19*10^-S25)+('[1]setup'!$D$19*'[1]setup'!$D$22*(AP25/(10^6*2))*(10^-S25)^3))*10^6</f>
        <v>0.0009810095131965884</v>
      </c>
      <c r="BL25" s="93">
        <f t="shared" si="28"/>
        <v>52.78841922230487</v>
      </c>
      <c r="BM25" s="74">
        <f>(BL25/((('[1]setup'!$C$26)/10^-S25)+2*(('[1]setup'!$C$26*'[1]setup'!$C$27)/(10^-S25^2))+3*(('[1]setup'!$C$26*'[1]setup'!$C$27*'[1]setup'!$C$28)/(10^-S25^3))))/(10^-S25^3/(10^-S25^3+'[1]setup'!$C$26*10^-S25^2+'[1]setup'!$C$26*'[1]setup'!$C$27*10^-S25+'[1]setup'!$C$26*'[1]setup'!$C$27*'[1]setup'!$C$28))</f>
        <v>22.7547175459688</v>
      </c>
      <c r="BN25" s="74"/>
      <c r="BO25" s="123">
        <f t="shared" si="32"/>
        <v>207.08919573180444</v>
      </c>
      <c r="BP25" s="123">
        <f t="shared" si="29"/>
        <v>137.43928571428572</v>
      </c>
      <c r="BQ25" s="123">
        <f t="shared" si="0"/>
        <v>1.5067685680665552</v>
      </c>
      <c r="BR25" s="123">
        <f t="shared" si="30"/>
        <v>68.9213385889473</v>
      </c>
      <c r="BS25" s="123">
        <f t="shared" si="31"/>
        <v>1.1369177832467414</v>
      </c>
      <c r="BT25" s="74"/>
      <c r="BV25" s="27" t="s">
        <v>66</v>
      </c>
      <c r="BW25" s="105"/>
      <c r="BX25" s="106"/>
      <c r="BY25" s="107"/>
      <c r="BZ25" s="107"/>
      <c r="CA25" s="106"/>
      <c r="CB25" s="108"/>
      <c r="CC25" s="104"/>
      <c r="CD25" s="107"/>
      <c r="CE25" s="109"/>
      <c r="CF25" s="115"/>
    </row>
    <row r="26" spans="1:84" s="95" customFormat="1" ht="12.75">
      <c r="A26" s="96">
        <v>38531</v>
      </c>
      <c r="B26" s="74">
        <v>14.15</v>
      </c>
      <c r="C26" s="26" t="s">
        <v>98</v>
      </c>
      <c r="D26" s="80">
        <v>844235</v>
      </c>
      <c r="E26" s="102"/>
      <c r="F26" s="4">
        <f>F6</f>
        <v>0.006</v>
      </c>
      <c r="G26" s="11">
        <f>G6</f>
        <v>0.002</v>
      </c>
      <c r="H26" s="9">
        <v>0.0286</v>
      </c>
      <c r="I26" s="4">
        <v>2.987</v>
      </c>
      <c r="J26" s="9">
        <v>0.01006</v>
      </c>
      <c r="K26" s="4">
        <f>K6</f>
        <v>0.025</v>
      </c>
      <c r="L26" s="9">
        <v>0.00501</v>
      </c>
      <c r="M26" s="9">
        <v>0.1336</v>
      </c>
      <c r="N26" s="9">
        <v>1.098</v>
      </c>
      <c r="O26" s="9">
        <v>0.3602</v>
      </c>
      <c r="P26" s="9">
        <v>3.191</v>
      </c>
      <c r="Q26" s="4">
        <v>0.6604</v>
      </c>
      <c r="R26" s="4">
        <v>4.258</v>
      </c>
      <c r="S26" s="4">
        <v>6.61</v>
      </c>
      <c r="T26" s="4">
        <v>16.4</v>
      </c>
      <c r="U26" s="4">
        <v>28.83</v>
      </c>
      <c r="V26" s="85">
        <f>V6</f>
        <v>0.05</v>
      </c>
      <c r="W26" s="4">
        <v>0.7095</v>
      </c>
      <c r="X26" s="11">
        <f>X6</f>
        <v>0.002</v>
      </c>
      <c r="Y26" s="9">
        <f>Y6</f>
        <v>0.002</v>
      </c>
      <c r="Z26" s="9">
        <v>1.92</v>
      </c>
      <c r="AA26" s="163"/>
      <c r="AB26" s="163"/>
      <c r="AE26" s="78">
        <f t="shared" si="1"/>
        <v>0.2142857142857143</v>
      </c>
      <c r="AF26" s="78">
        <f t="shared" si="2"/>
        <v>0.07272727272727272</v>
      </c>
      <c r="AG26" s="78">
        <f t="shared" si="3"/>
        <v>3.177777777777778</v>
      </c>
      <c r="AH26" s="78">
        <f t="shared" si="4"/>
        <v>426.7142857142857</v>
      </c>
      <c r="AI26" s="78">
        <f t="shared" si="5"/>
        <v>0.7185714285714285</v>
      </c>
      <c r="AJ26" s="78">
        <f t="shared" si="6"/>
        <v>1.7857142857142858</v>
      </c>
      <c r="AK26" s="78">
        <f t="shared" si="7"/>
        <v>0.4848387096774194</v>
      </c>
      <c r="AL26" s="78">
        <f t="shared" si="8"/>
        <v>3.4256410256410255</v>
      </c>
      <c r="AM26" s="78">
        <f t="shared" si="9"/>
        <v>54.900000000000006</v>
      </c>
      <c r="AN26" s="78">
        <f t="shared" si="10"/>
        <v>30.016666666666666</v>
      </c>
      <c r="AO26" s="78">
        <f t="shared" si="11"/>
        <v>138.73913043478262</v>
      </c>
      <c r="AP26" s="78">
        <f t="shared" si="12"/>
        <v>41.275</v>
      </c>
      <c r="AQ26" s="78">
        <f t="shared" si="13"/>
        <v>121.65714285714286</v>
      </c>
      <c r="AR26" s="68">
        <f t="shared" si="14"/>
        <v>0.24547089156850282</v>
      </c>
      <c r="AS26" s="78">
        <f t="shared" si="15"/>
        <v>4.838709677419355</v>
      </c>
      <c r="AT26" s="78">
        <f t="shared" si="16"/>
        <v>44.34375</v>
      </c>
      <c r="AU26" s="78">
        <f t="shared" si="17"/>
        <v>0.06349206349206349</v>
      </c>
      <c r="AV26" s="78">
        <f t="shared" si="18"/>
        <v>0.061538461538461535</v>
      </c>
      <c r="AW26" s="68"/>
      <c r="AX26" s="68"/>
      <c r="AY26" s="68"/>
      <c r="AZ26" s="68">
        <f t="shared" si="19"/>
        <v>2.5042857142857144</v>
      </c>
      <c r="BA26" s="103">
        <f t="shared" si="20"/>
        <v>227.80000955566177</v>
      </c>
      <c r="BB26" s="103">
        <f t="shared" si="21"/>
        <v>164.71785714285716</v>
      </c>
      <c r="BC26" s="27">
        <f t="shared" si="22"/>
        <v>16.071154402063463</v>
      </c>
      <c r="BD26" s="79">
        <f>(('[1]setup'!$B$13*'[1]setup'!$B$14*'[1]setup'!$B$15)/10^(-S26))*10^6</f>
        <v>48.30519099047277</v>
      </c>
      <c r="BE26" s="73">
        <f t="shared" si="23"/>
        <v>18.47298209097976</v>
      </c>
      <c r="BF26" s="74">
        <f t="shared" si="24"/>
        <v>63.082152412804646</v>
      </c>
      <c r="BG26" s="72">
        <f t="shared" si="25"/>
        <v>228.0454804472303</v>
      </c>
      <c r="BH26" s="72">
        <f t="shared" si="26"/>
        <v>231.49603022430966</v>
      </c>
      <c r="BI26" s="75">
        <f t="shared" si="27"/>
        <v>0.7508679187734304</v>
      </c>
      <c r="BJ26" s="58"/>
      <c r="BK26" s="92">
        <f>(3*('[1]setup'!$D$19*(10^-S26)^3)+2*('[1]setup'!$D$20*'[1]setup'!$D$19*((10^-S26)^2))+('[1]setup'!$D$21*'[1]setup'!$D$19*10^-S26)+('[1]setup'!$D$19*'[1]setup'!$D$22*(AP26/(10^6*2))*(10^-S26)^3))*10^6</f>
        <v>0.00025866655693706375</v>
      </c>
      <c r="BL26" s="93">
        <f t="shared" si="28"/>
        <v>15.022690980457327</v>
      </c>
      <c r="BM26" s="74">
        <f>(BL26/((('[1]setup'!$C$26)/10^-S26)+2*(('[1]setup'!$C$26*'[1]setup'!$C$27)/(10^-S26^2))+3*(('[1]setup'!$C$26*'[1]setup'!$C$27*'[1]setup'!$C$28)/(10^-S26^3))))/(10^-S26^3/(10^-S26^3+'[1]setup'!$C$26*10^-S26^2+'[1]setup'!$C$26*'[1]setup'!$C$27*10^-S26+'[1]setup'!$C$26*'[1]setup'!$C$27*'[1]setup'!$C$28))</f>
        <v>5.822086631428241</v>
      </c>
      <c r="BN26" s="74"/>
      <c r="BO26" s="123">
        <f t="shared" si="32"/>
        <v>227.80000955566175</v>
      </c>
      <c r="BP26" s="123">
        <f t="shared" si="29"/>
        <v>164.71785714285716</v>
      </c>
      <c r="BQ26" s="123">
        <f t="shared" si="0"/>
        <v>1.3829709389559048</v>
      </c>
      <c r="BR26" s="123">
        <f t="shared" si="30"/>
        <v>62.36358098423318</v>
      </c>
      <c r="BS26" s="123">
        <f t="shared" si="31"/>
        <v>1.1404108889660385</v>
      </c>
      <c r="BT26" s="7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</row>
    <row r="27" spans="1:84" s="67" customFormat="1" ht="12.75">
      <c r="A27" s="96">
        <v>38545</v>
      </c>
      <c r="B27" s="74">
        <v>12.1</v>
      </c>
      <c r="C27" s="26" t="s">
        <v>99</v>
      </c>
      <c r="D27" s="80">
        <v>844236</v>
      </c>
      <c r="E27" s="24"/>
      <c r="F27" s="75">
        <f>F6</f>
        <v>0.006</v>
      </c>
      <c r="G27" s="11">
        <f>G6</f>
        <v>0.002</v>
      </c>
      <c r="H27" s="11">
        <v>0.0202</v>
      </c>
      <c r="I27" s="75">
        <v>3.279</v>
      </c>
      <c r="J27" s="11">
        <v>0.01006</v>
      </c>
      <c r="K27" s="75">
        <v>0.025093</v>
      </c>
      <c r="L27" s="11">
        <v>0.005</v>
      </c>
      <c r="M27" s="11">
        <v>0.1338</v>
      </c>
      <c r="N27" s="11">
        <v>1.161</v>
      </c>
      <c r="O27" s="11">
        <v>0.3784</v>
      </c>
      <c r="P27" s="11">
        <v>3.399</v>
      </c>
      <c r="Q27" s="75">
        <v>0.6482</v>
      </c>
      <c r="R27" s="75">
        <v>4.138</v>
      </c>
      <c r="S27" s="75">
        <v>6.69</v>
      </c>
      <c r="T27" s="75">
        <v>17.1</v>
      </c>
      <c r="U27" s="75">
        <v>29.706</v>
      </c>
      <c r="V27" s="11">
        <f>V6</f>
        <v>0.05</v>
      </c>
      <c r="W27" s="75">
        <v>0.7282</v>
      </c>
      <c r="X27" s="11">
        <f>X6</f>
        <v>0.002</v>
      </c>
      <c r="Y27" s="11">
        <v>0.00201</v>
      </c>
      <c r="Z27" s="11">
        <v>1.454</v>
      </c>
      <c r="AA27" s="165"/>
      <c r="AB27" s="165"/>
      <c r="AE27" s="78">
        <f t="shared" si="1"/>
        <v>0.2142857142857143</v>
      </c>
      <c r="AF27" s="78">
        <f t="shared" si="2"/>
        <v>0.07272727272727272</v>
      </c>
      <c r="AG27" s="78">
        <f t="shared" si="3"/>
        <v>2.2444444444444445</v>
      </c>
      <c r="AH27" s="78">
        <f t="shared" si="4"/>
        <v>468.42857142857144</v>
      </c>
      <c r="AI27" s="78">
        <f t="shared" si="5"/>
        <v>0.7185714285714285</v>
      </c>
      <c r="AJ27" s="78">
        <f t="shared" si="6"/>
        <v>1.7923571428571428</v>
      </c>
      <c r="AK27" s="78">
        <f t="shared" si="7"/>
        <v>0.4838709677419355</v>
      </c>
      <c r="AL27" s="78">
        <f t="shared" si="8"/>
        <v>3.4307692307692306</v>
      </c>
      <c r="AM27" s="78">
        <f t="shared" si="9"/>
        <v>58.050000000000004</v>
      </c>
      <c r="AN27" s="78">
        <f t="shared" si="10"/>
        <v>31.53333333333334</v>
      </c>
      <c r="AO27" s="78">
        <f t="shared" si="11"/>
        <v>147.7826086956522</v>
      </c>
      <c r="AP27" s="78">
        <f t="shared" si="12"/>
        <v>40.5125</v>
      </c>
      <c r="AQ27" s="78">
        <f t="shared" si="13"/>
        <v>118.22857142857141</v>
      </c>
      <c r="AR27" s="68">
        <f t="shared" si="14"/>
        <v>0.20417379446695272</v>
      </c>
      <c r="AS27" s="78">
        <f t="shared" si="15"/>
        <v>4.838709677419355</v>
      </c>
      <c r="AT27" s="78">
        <f t="shared" si="16"/>
        <v>45.512499999999996</v>
      </c>
      <c r="AU27" s="78">
        <f t="shared" si="17"/>
        <v>0.06349206349206349</v>
      </c>
      <c r="AV27" s="78">
        <f t="shared" si="18"/>
        <v>0.06184615384615385</v>
      </c>
      <c r="AW27" s="68"/>
      <c r="AX27" s="68"/>
      <c r="AY27" s="68"/>
      <c r="AZ27" s="68">
        <f t="shared" si="19"/>
        <v>2.5109285714285714</v>
      </c>
      <c r="BA27" s="103">
        <f t="shared" si="20"/>
        <v>241.5152826883262</v>
      </c>
      <c r="BB27" s="103">
        <f t="shared" si="21"/>
        <v>160.53342857142854</v>
      </c>
      <c r="BC27" s="27">
        <f t="shared" si="22"/>
        <v>20.14229914160254</v>
      </c>
      <c r="BD27" s="79">
        <f>(('[1]setup'!$B$13*'[1]setup'!$B$14*'[1]setup'!$B$15)/10^(-S27))*10^6</f>
        <v>58.07561313524684</v>
      </c>
      <c r="BE27" s="73">
        <f t="shared" si="23"/>
        <v>14.046727112418656</v>
      </c>
      <c r="BF27" s="74">
        <f t="shared" si="24"/>
        <v>80.98185411689764</v>
      </c>
      <c r="BG27" s="72">
        <f t="shared" si="25"/>
        <v>241.71945648279316</v>
      </c>
      <c r="BH27" s="72">
        <f t="shared" si="26"/>
        <v>232.65576881909408</v>
      </c>
      <c r="BI27" s="75">
        <f t="shared" si="27"/>
        <v>1.9106578885798795</v>
      </c>
      <c r="BJ27" s="58"/>
      <c r="BK27" s="92">
        <f>(3*('[1]setup'!$D$19*(10^-S27)^3)+2*('[1]setup'!$D$20*'[1]setup'!$D$19*((10^-S27)^2))+('[1]setup'!$D$21*'[1]setup'!$D$19*10^-S27)+('[1]setup'!$D$19*'[1]setup'!$D$22*(AP27/(10^6*2))*(10^-S27)^3))*10^6</f>
        <v>0.0002085655114173423</v>
      </c>
      <c r="BL27" s="93">
        <f t="shared" si="28"/>
        <v>23.11062334162918</v>
      </c>
      <c r="BM27" s="74">
        <f>(BL27/((('[1]setup'!$C$26)/10^-S27)+2*(('[1]setup'!$C$26*'[1]setup'!$C$27)/(10^-S27^2))+3*(('[1]setup'!$C$26*'[1]setup'!$C$27*'[1]setup'!$C$28)/(10^-S27^3))))/(10^-S27^3/(10^-S27^3+'[1]setup'!$C$26*10^-S27^2+'[1]setup'!$C$26*'[1]setup'!$C$27*10^-S27+'[1]setup'!$C$26*'[1]setup'!$C$27*'[1]setup'!$C$28))</f>
        <v>8.80268172634356</v>
      </c>
      <c r="BN27" s="74"/>
      <c r="BO27" s="123">
        <f t="shared" si="32"/>
        <v>241.51528268832618</v>
      </c>
      <c r="BP27" s="123">
        <f t="shared" si="29"/>
        <v>160.53342857142854</v>
      </c>
      <c r="BQ27" s="123">
        <f t="shared" si="0"/>
        <v>1.5044547720530692</v>
      </c>
      <c r="BR27" s="123">
        <f t="shared" si="30"/>
        <v>80.26328268832623</v>
      </c>
      <c r="BS27" s="123">
        <f t="shared" si="31"/>
        <v>1.249973732321853</v>
      </c>
      <c r="BT27" s="74"/>
      <c r="BV27" s="27" t="s">
        <v>100</v>
      </c>
      <c r="BW27" s="105"/>
      <c r="BX27" s="106"/>
      <c r="BY27" s="107"/>
      <c r="BZ27" s="107"/>
      <c r="CA27" s="106"/>
      <c r="CB27" s="108"/>
      <c r="CC27" s="104"/>
      <c r="CD27" s="107"/>
      <c r="CE27" s="109"/>
      <c r="CF27" s="115"/>
    </row>
    <row r="28" spans="1:84" s="95" customFormat="1" ht="12.75">
      <c r="A28" s="96">
        <v>38559</v>
      </c>
      <c r="B28" s="74">
        <v>10.35</v>
      </c>
      <c r="C28" s="26" t="s">
        <v>101</v>
      </c>
      <c r="D28" s="80">
        <v>844237</v>
      </c>
      <c r="E28" s="102"/>
      <c r="F28" s="4">
        <f>F6</f>
        <v>0.006</v>
      </c>
      <c r="G28" s="11">
        <f>G6</f>
        <v>0.002</v>
      </c>
      <c r="H28" s="9">
        <v>0.02003</v>
      </c>
      <c r="I28" s="4">
        <v>3.426</v>
      </c>
      <c r="J28" s="9">
        <v>0.0241</v>
      </c>
      <c r="K28" s="4">
        <v>0.025098</v>
      </c>
      <c r="L28" s="9">
        <v>0.0077</v>
      </c>
      <c r="M28" s="9">
        <v>0.1647</v>
      </c>
      <c r="N28" s="9">
        <v>1.209</v>
      </c>
      <c r="O28" s="9">
        <v>0.3656</v>
      </c>
      <c r="P28" s="9">
        <v>3.413</v>
      </c>
      <c r="Q28" s="4">
        <v>0.6888</v>
      </c>
      <c r="R28" s="4">
        <v>4.296</v>
      </c>
      <c r="S28" s="4">
        <v>6.7</v>
      </c>
      <c r="T28" s="4">
        <v>17.7</v>
      </c>
      <c r="U28" s="4">
        <v>30.608</v>
      </c>
      <c r="V28" s="85">
        <f>V6</f>
        <v>0.05</v>
      </c>
      <c r="W28" s="4">
        <v>0.7384</v>
      </c>
      <c r="X28" s="11">
        <f>X6</f>
        <v>0.002</v>
      </c>
      <c r="Y28" s="9">
        <v>0.00201</v>
      </c>
      <c r="Z28" s="9">
        <v>1.295</v>
      </c>
      <c r="AA28" s="9"/>
      <c r="AB28" s="9"/>
      <c r="AD28" s="65"/>
      <c r="AE28" s="78">
        <f t="shared" si="1"/>
        <v>0.2142857142857143</v>
      </c>
      <c r="AF28" s="78">
        <f t="shared" si="2"/>
        <v>0.07272727272727272</v>
      </c>
      <c r="AG28" s="78">
        <f t="shared" si="3"/>
        <v>2.2255555555555553</v>
      </c>
      <c r="AH28" s="78">
        <f t="shared" si="4"/>
        <v>489.42857142857144</v>
      </c>
      <c r="AI28" s="78">
        <f t="shared" si="5"/>
        <v>1.7214285714285715</v>
      </c>
      <c r="AJ28" s="78">
        <f t="shared" si="6"/>
        <v>1.7927142857142857</v>
      </c>
      <c r="AK28" s="78">
        <f t="shared" si="7"/>
        <v>0.7451612903225807</v>
      </c>
      <c r="AL28" s="78">
        <f t="shared" si="8"/>
        <v>4.223076923076923</v>
      </c>
      <c r="AM28" s="78">
        <f t="shared" si="9"/>
        <v>60.45</v>
      </c>
      <c r="AN28" s="78">
        <f t="shared" si="10"/>
        <v>30.466666666666665</v>
      </c>
      <c r="AO28" s="78">
        <f t="shared" si="11"/>
        <v>148.39130434782606</v>
      </c>
      <c r="AP28" s="78">
        <f t="shared" si="12"/>
        <v>43.05</v>
      </c>
      <c r="AQ28" s="78">
        <f t="shared" si="13"/>
        <v>122.74285714285715</v>
      </c>
      <c r="AR28" s="68">
        <f t="shared" si="14"/>
        <v>0.1995262314968878</v>
      </c>
      <c r="AS28" s="78">
        <f t="shared" si="15"/>
        <v>4.838709677419355</v>
      </c>
      <c r="AT28" s="78">
        <f t="shared" si="16"/>
        <v>46.15</v>
      </c>
      <c r="AU28" s="78">
        <f t="shared" si="17"/>
        <v>0.06349206349206349</v>
      </c>
      <c r="AV28" s="78">
        <f t="shared" si="18"/>
        <v>0.06184615384615385</v>
      </c>
      <c r="AW28" s="68"/>
      <c r="AX28" s="68"/>
      <c r="AY28" s="68"/>
      <c r="AZ28" s="68">
        <f t="shared" si="19"/>
        <v>3.5141428571428572</v>
      </c>
      <c r="BA28" s="103">
        <f t="shared" si="20"/>
        <v>245.25247650899823</v>
      </c>
      <c r="BB28" s="103">
        <f t="shared" si="21"/>
        <v>167.58557142857143</v>
      </c>
      <c r="BC28" s="27">
        <f t="shared" si="22"/>
        <v>18.812923243976723</v>
      </c>
      <c r="BD28" s="79">
        <f>(('[1]setup'!$B$13*'[1]setup'!$B$14*'[1]setup'!$B$15)/10^(-S28))*10^6</f>
        <v>59.428367943706206</v>
      </c>
      <c r="BE28" s="73">
        <f t="shared" si="23"/>
        <v>12.516708530202676</v>
      </c>
      <c r="BF28" s="74">
        <f t="shared" si="24"/>
        <v>77.6669050804268</v>
      </c>
      <c r="BG28" s="72">
        <f t="shared" si="25"/>
        <v>245.45200274049512</v>
      </c>
      <c r="BH28" s="72">
        <f t="shared" si="26"/>
        <v>239.5306479024803</v>
      </c>
      <c r="BI28" s="75">
        <f t="shared" si="27"/>
        <v>1.220941580108993</v>
      </c>
      <c r="BJ28" s="58"/>
      <c r="BK28" s="92">
        <f>(3*('[1]setup'!$D$19*(10^-S28)^3)+2*('[1]setup'!$D$20*'[1]setup'!$D$19*((10^-S28)^2))+('[1]setup'!$D$21*'[1]setup'!$D$19*10^-S28)+('[1]setup'!$D$19*'[1]setup'!$D$22*(AP28/(10^6*2))*(10^-S28)^3))*10^6</f>
        <v>0.0002031076233305333</v>
      </c>
      <c r="BL28" s="93">
        <f t="shared" si="28"/>
        <v>18.438266475840805</v>
      </c>
      <c r="BM28" s="74">
        <f>(BL28/((('[1]setup'!$C$26)/10^-S28)+2*(('[1]setup'!$C$26*'[1]setup'!$C$27)/(10^-S28^2))+3*(('[1]setup'!$C$26*'[1]setup'!$C$27*'[1]setup'!$C$28)/(10^-S28^3))))/(10^-S28^3/(10^-S28^3+'[1]setup'!$C$26*10^-S28^2+'[1]setup'!$C$26*'[1]setup'!$C$27*10^-S28+'[1]setup'!$C$26*'[1]setup'!$C$27*'[1]setup'!$C$28))</f>
        <v>7.0083604860228546</v>
      </c>
      <c r="BN28" s="74"/>
      <c r="BO28" s="123">
        <f t="shared" si="32"/>
        <v>245.25247650899823</v>
      </c>
      <c r="BP28" s="123">
        <f t="shared" si="29"/>
        <v>167.58557142857143</v>
      </c>
      <c r="BQ28" s="123">
        <f t="shared" si="0"/>
        <v>1.4634462526717589</v>
      </c>
      <c r="BR28" s="123">
        <f t="shared" si="30"/>
        <v>75.94547650899824</v>
      </c>
      <c r="BS28" s="123">
        <f t="shared" si="31"/>
        <v>1.2089608128896443</v>
      </c>
      <c r="BT28" s="74"/>
      <c r="BV28" s="27" t="s">
        <v>102</v>
      </c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</row>
    <row r="29" spans="1:84" s="95" customFormat="1" ht="12.75">
      <c r="A29" s="96">
        <v>38573</v>
      </c>
      <c r="B29" s="74">
        <v>13.1</v>
      </c>
      <c r="C29" s="26" t="s">
        <v>103</v>
      </c>
      <c r="D29" s="80">
        <v>844238</v>
      </c>
      <c r="E29" s="24"/>
      <c r="F29" s="75">
        <f>F6</f>
        <v>0.006</v>
      </c>
      <c r="G29" s="11">
        <f>G6</f>
        <v>0.002</v>
      </c>
      <c r="H29" s="11">
        <v>0.02005</v>
      </c>
      <c r="I29" s="75">
        <v>3.497</v>
      </c>
      <c r="J29" s="11">
        <f>J6</f>
        <v>0.01</v>
      </c>
      <c r="K29" s="75">
        <v>0.0250835</v>
      </c>
      <c r="L29" s="11">
        <v>0.00501</v>
      </c>
      <c r="M29" s="11">
        <v>0.1606</v>
      </c>
      <c r="N29" s="11">
        <v>1.257</v>
      </c>
      <c r="O29" s="11">
        <v>0.3838</v>
      </c>
      <c r="P29" s="11">
        <v>3.527</v>
      </c>
      <c r="Q29" s="75">
        <v>0.677</v>
      </c>
      <c r="R29" s="75">
        <v>4.27</v>
      </c>
      <c r="S29" s="75">
        <v>6.77</v>
      </c>
      <c r="T29" s="75">
        <v>16.6</v>
      </c>
      <c r="U29" s="75">
        <v>30.611</v>
      </c>
      <c r="V29" s="11">
        <f>V6</f>
        <v>0.05</v>
      </c>
      <c r="W29" s="75">
        <v>0.7757</v>
      </c>
      <c r="X29" s="11">
        <f>X6</f>
        <v>0.002</v>
      </c>
      <c r="Y29" s="11">
        <f>Y6</f>
        <v>0.002</v>
      </c>
      <c r="Z29" s="11">
        <v>1.183</v>
      </c>
      <c r="AA29" s="9"/>
      <c r="AB29" s="9"/>
      <c r="AD29" s="65"/>
      <c r="AE29" s="78">
        <f t="shared" si="1"/>
        <v>0.2142857142857143</v>
      </c>
      <c r="AF29" s="78">
        <f t="shared" si="2"/>
        <v>0.07272727272727272</v>
      </c>
      <c r="AG29" s="78">
        <f t="shared" si="3"/>
        <v>2.227777777777778</v>
      </c>
      <c r="AH29" s="78">
        <f t="shared" si="4"/>
        <v>499.57142857142856</v>
      </c>
      <c r="AI29" s="78">
        <f t="shared" si="5"/>
        <v>0.7142857142857143</v>
      </c>
      <c r="AJ29" s="78">
        <f t="shared" si="6"/>
        <v>1.7916785714285715</v>
      </c>
      <c r="AK29" s="78">
        <f t="shared" si="7"/>
        <v>0.4848387096774194</v>
      </c>
      <c r="AL29" s="78">
        <f t="shared" si="8"/>
        <v>4.1179487179487175</v>
      </c>
      <c r="AM29" s="78">
        <f t="shared" si="9"/>
        <v>62.84999999999999</v>
      </c>
      <c r="AN29" s="78">
        <f t="shared" si="10"/>
        <v>31.983333333333327</v>
      </c>
      <c r="AO29" s="78">
        <f t="shared" si="11"/>
        <v>153.34782608695653</v>
      </c>
      <c r="AP29" s="78">
        <f t="shared" si="12"/>
        <v>42.3125</v>
      </c>
      <c r="AQ29" s="78">
        <f t="shared" si="13"/>
        <v>121.99999999999999</v>
      </c>
      <c r="AR29" s="68">
        <f t="shared" si="14"/>
        <v>0.16982436524617459</v>
      </c>
      <c r="AS29" s="78">
        <f t="shared" si="15"/>
        <v>4.838709677419355</v>
      </c>
      <c r="AT29" s="78">
        <f t="shared" si="16"/>
        <v>48.481249999999996</v>
      </c>
      <c r="AU29" s="78">
        <f t="shared" si="17"/>
        <v>0.06349206349206349</v>
      </c>
      <c r="AV29" s="78">
        <f t="shared" si="18"/>
        <v>0.061538461538461535</v>
      </c>
      <c r="AW29" s="68"/>
      <c r="AX29" s="68"/>
      <c r="AY29" s="68"/>
      <c r="AZ29" s="68">
        <f t="shared" si="19"/>
        <v>2.5059642857142856</v>
      </c>
      <c r="BA29" s="103">
        <f t="shared" si="20"/>
        <v>253.01339385252427</v>
      </c>
      <c r="BB29" s="103">
        <f t="shared" si="21"/>
        <v>166.10417857142855</v>
      </c>
      <c r="BC29" s="27">
        <f t="shared" si="22"/>
        <v>20.73623751408444</v>
      </c>
      <c r="BD29" s="79">
        <f>(('[1]setup'!$B$13*'[1]setup'!$B$14*'[1]setup'!$B$15)/10^(-S29))*10^6</f>
        <v>69.82224419110709</v>
      </c>
      <c r="BE29" s="73">
        <f t="shared" si="23"/>
        <v>11.470980977953785</v>
      </c>
      <c r="BF29" s="74">
        <f t="shared" si="24"/>
        <v>86.9092152810957</v>
      </c>
      <c r="BG29" s="72">
        <f t="shared" si="25"/>
        <v>253.18321821777045</v>
      </c>
      <c r="BH29" s="72">
        <f t="shared" si="26"/>
        <v>247.39740374048944</v>
      </c>
      <c r="BI29" s="75">
        <f t="shared" si="27"/>
        <v>1.1558207056931278</v>
      </c>
      <c r="BJ29" s="58"/>
      <c r="BK29" s="92">
        <f>(3*('[1]setup'!$D$19*(10^-S29)^3)+2*('[1]setup'!$D$20*'[1]setup'!$D$19*((10^-S29)^2))+('[1]setup'!$D$21*'[1]setup'!$D$19*10^-S29)+('[1]setup'!$D$19*'[1]setup'!$D$22*(AP29/(10^6*2))*(10^-S29)^3))*10^6</f>
        <v>0.0001690560096730402</v>
      </c>
      <c r="BL29" s="93">
        <f t="shared" si="28"/>
        <v>17.256964511244462</v>
      </c>
      <c r="BM29" s="74">
        <f>(BL29/((('[1]setup'!$C$26)/10^-S29)+2*(('[1]setup'!$C$26*'[1]setup'!$C$27)/(10^-S29^2))+3*(('[1]setup'!$C$26*'[1]setup'!$C$27*'[1]setup'!$C$28)/(10^-S29^3))))/(10^-S29^3/(10^-S29^3+'[1]setup'!$C$26*10^-S29^2+'[1]setup'!$C$26*'[1]setup'!$C$27*10^-S29+'[1]setup'!$C$26*'[1]setup'!$C$27*'[1]setup'!$C$28))</f>
        <v>6.467580370443486</v>
      </c>
      <c r="BN29" s="74"/>
      <c r="BO29" s="123">
        <f t="shared" si="32"/>
        <v>253.01339385252427</v>
      </c>
      <c r="BP29" s="123">
        <f t="shared" si="29"/>
        <v>166.10417857142855</v>
      </c>
      <c r="BQ29" s="123">
        <f t="shared" si="0"/>
        <v>1.5232211256125794</v>
      </c>
      <c r="BR29" s="123">
        <f t="shared" si="30"/>
        <v>86.19492956681</v>
      </c>
      <c r="BS29" s="123">
        <f t="shared" si="31"/>
        <v>1.2569493941553815</v>
      </c>
      <c r="BT29" s="74"/>
      <c r="BV29" s="27" t="s">
        <v>104</v>
      </c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</row>
    <row r="30" spans="1:84" s="95" customFormat="1" ht="12.75">
      <c r="A30" s="96">
        <v>38588</v>
      </c>
      <c r="B30" s="74">
        <v>12.15</v>
      </c>
      <c r="C30" s="26" t="s">
        <v>105</v>
      </c>
      <c r="D30" s="80">
        <v>844239</v>
      </c>
      <c r="E30" s="102"/>
      <c r="F30" s="4">
        <f>F6</f>
        <v>0.006</v>
      </c>
      <c r="G30" s="11">
        <f>G6</f>
        <v>0.002</v>
      </c>
      <c r="H30" s="9">
        <v>0.051</v>
      </c>
      <c r="I30" s="4">
        <v>3.057</v>
      </c>
      <c r="J30" s="9">
        <f>J6</f>
        <v>0.01</v>
      </c>
      <c r="K30" s="4">
        <v>0.0250243</v>
      </c>
      <c r="L30" s="9">
        <v>0.00508</v>
      </c>
      <c r="M30" s="9">
        <v>0.1933</v>
      </c>
      <c r="N30" s="9">
        <v>1.079</v>
      </c>
      <c r="O30" s="9">
        <v>0.3783</v>
      </c>
      <c r="P30" s="9">
        <v>3.263</v>
      </c>
      <c r="Q30" s="4">
        <v>0.6912</v>
      </c>
      <c r="R30" s="4">
        <v>4.304</v>
      </c>
      <c r="S30" s="4">
        <v>6.61</v>
      </c>
      <c r="T30" s="4">
        <v>16.4</v>
      </c>
      <c r="U30" s="4">
        <v>29.133</v>
      </c>
      <c r="V30" s="85">
        <f>V6</f>
        <v>0.05</v>
      </c>
      <c r="W30" s="4">
        <v>0.7299</v>
      </c>
      <c r="X30" s="11">
        <f>X6</f>
        <v>0.002</v>
      </c>
      <c r="Y30" s="9">
        <v>0.0021</v>
      </c>
      <c r="Z30" s="9">
        <v>2.337</v>
      </c>
      <c r="AA30" s="9"/>
      <c r="AB30" s="9"/>
      <c r="AD30" s="65"/>
      <c r="AE30" s="78">
        <f t="shared" si="1"/>
        <v>0.2142857142857143</v>
      </c>
      <c r="AF30" s="78">
        <f t="shared" si="2"/>
        <v>0.07272727272727272</v>
      </c>
      <c r="AG30" s="78">
        <f t="shared" si="3"/>
        <v>5.666666666666666</v>
      </c>
      <c r="AH30" s="78">
        <f t="shared" si="4"/>
        <v>436.7142857142857</v>
      </c>
      <c r="AI30" s="78">
        <f t="shared" si="5"/>
        <v>0.7142857142857143</v>
      </c>
      <c r="AJ30" s="78">
        <f t="shared" si="6"/>
        <v>1.78745</v>
      </c>
      <c r="AK30" s="78">
        <f t="shared" si="7"/>
        <v>0.4916129032258064</v>
      </c>
      <c r="AL30" s="78">
        <f t="shared" si="8"/>
        <v>4.956410256410257</v>
      </c>
      <c r="AM30" s="78">
        <f t="shared" si="9"/>
        <v>53.949999999999996</v>
      </c>
      <c r="AN30" s="78">
        <f t="shared" si="10"/>
        <v>31.525000000000006</v>
      </c>
      <c r="AO30" s="78">
        <f t="shared" si="11"/>
        <v>141.8695652173913</v>
      </c>
      <c r="AP30" s="78">
        <f t="shared" si="12"/>
        <v>43.2</v>
      </c>
      <c r="AQ30" s="78">
        <f t="shared" si="13"/>
        <v>122.97142857142858</v>
      </c>
      <c r="AR30" s="68">
        <f t="shared" si="14"/>
        <v>0.24547089156850282</v>
      </c>
      <c r="AS30" s="78">
        <f t="shared" si="15"/>
        <v>4.838709677419355</v>
      </c>
      <c r="AT30" s="78">
        <f t="shared" si="16"/>
        <v>45.61875</v>
      </c>
      <c r="AU30" s="78">
        <f t="shared" si="17"/>
        <v>0.06349206349206349</v>
      </c>
      <c r="AV30" s="78">
        <f t="shared" si="18"/>
        <v>0.06461538461538462</v>
      </c>
      <c r="AW30" s="68"/>
      <c r="AX30" s="68"/>
      <c r="AY30" s="68"/>
      <c r="AZ30" s="68">
        <f t="shared" si="19"/>
        <v>2.501735714285714</v>
      </c>
      <c r="BA30" s="103">
        <f t="shared" si="20"/>
        <v>233.0152611880873</v>
      </c>
      <c r="BB30" s="103">
        <f t="shared" si="21"/>
        <v>167.95887857142858</v>
      </c>
      <c r="BC30" s="27">
        <f t="shared" si="22"/>
        <v>16.22458312540461</v>
      </c>
      <c r="BD30" s="79">
        <f>(('[1]setup'!$B$13*'[1]setup'!$B$14*'[1]setup'!$B$15)/10^(-S30))*10^6</f>
        <v>48.30519099047277</v>
      </c>
      <c r="BE30" s="73">
        <f t="shared" si="23"/>
        <v>22.48508288886443</v>
      </c>
      <c r="BF30" s="74">
        <f t="shared" si="24"/>
        <v>65.05638261665871</v>
      </c>
      <c r="BG30" s="72">
        <f t="shared" si="25"/>
        <v>233.2607320796558</v>
      </c>
      <c r="BH30" s="72">
        <f t="shared" si="26"/>
        <v>238.7491524507658</v>
      </c>
      <c r="BI30" s="75">
        <f t="shared" si="27"/>
        <v>1.1627765754461115</v>
      </c>
      <c r="BJ30" s="58"/>
      <c r="BK30" s="92">
        <f>(3*('[1]setup'!$D$19*(10^-S30)^3)+2*('[1]setup'!$D$20*'[1]setup'!$D$19*((10^-S30)^2))+('[1]setup'!$D$21*'[1]setup'!$D$19*10^-S30)+('[1]setup'!$D$19*'[1]setup'!$D$22*(AP30/(10^6*2))*(10^-S30)^3))*10^6</f>
        <v>0.0002586677394820657</v>
      </c>
      <c r="BL30" s="93">
        <f t="shared" si="28"/>
        <v>16.99692118549393</v>
      </c>
      <c r="BM30" s="74">
        <f>(BL30/((('[1]setup'!$C$26)/10^-S30)+2*(('[1]setup'!$C$26*'[1]setup'!$C$27)/(10^-S30^2))+3*(('[1]setup'!$C$26*'[1]setup'!$C$27*'[1]setup'!$C$28)/(10^-S30^3))))/(10^-S30^3/(10^-S30^3+'[1]setup'!$C$26*10^-S30^2+'[1]setup'!$C$26*'[1]setup'!$C$27*10^-S30+'[1]setup'!$C$26*'[1]setup'!$C$27*'[1]setup'!$C$28))</f>
        <v>6.5872051643900065</v>
      </c>
      <c r="BN30" s="74"/>
      <c r="BO30" s="123">
        <f t="shared" si="32"/>
        <v>233.0152611880873</v>
      </c>
      <c r="BP30" s="123">
        <f t="shared" si="29"/>
        <v>167.95887857142858</v>
      </c>
      <c r="BQ30" s="123">
        <f t="shared" si="0"/>
        <v>1.3873351809085335</v>
      </c>
      <c r="BR30" s="123">
        <f t="shared" si="30"/>
        <v>64.34209690237299</v>
      </c>
      <c r="BS30" s="123">
        <f t="shared" si="31"/>
        <v>1.1536790851786003</v>
      </c>
      <c r="BT30" s="74"/>
      <c r="BV30" s="27" t="s">
        <v>67</v>
      </c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</row>
    <row r="31" spans="1:84" s="95" customFormat="1" ht="12.75">
      <c r="A31" s="96">
        <v>38601</v>
      </c>
      <c r="B31" s="74">
        <v>12.15</v>
      </c>
      <c r="C31" s="80" t="s">
        <v>85</v>
      </c>
      <c r="D31" s="26">
        <v>838962</v>
      </c>
      <c r="E31" s="102"/>
      <c r="F31" s="33">
        <v>0.0103</v>
      </c>
      <c r="G31" s="11">
        <f>G6</f>
        <v>0.002</v>
      </c>
      <c r="H31" s="9">
        <v>0.0803</v>
      </c>
      <c r="I31" s="4">
        <v>2.801</v>
      </c>
      <c r="J31" s="9">
        <f>J6</f>
        <v>0.01</v>
      </c>
      <c r="K31" s="4">
        <f>K6</f>
        <v>0.025</v>
      </c>
      <c r="L31" s="9">
        <f>L6</f>
        <v>0.005</v>
      </c>
      <c r="M31" s="9">
        <v>0.10007</v>
      </c>
      <c r="N31" s="9">
        <v>0.9527</v>
      </c>
      <c r="O31" s="9">
        <v>0.306</v>
      </c>
      <c r="P31" s="9">
        <v>3.17</v>
      </c>
      <c r="Q31" s="4">
        <v>0.6348</v>
      </c>
      <c r="R31" s="4">
        <v>3.933</v>
      </c>
      <c r="S31" s="9">
        <v>6.61</v>
      </c>
      <c r="T31" s="9">
        <v>17.9</v>
      </c>
      <c r="U31" s="9">
        <v>28.297</v>
      </c>
      <c r="V31" s="85">
        <f>V6</f>
        <v>0.05</v>
      </c>
      <c r="W31" s="9">
        <v>0.7295</v>
      </c>
      <c r="X31" s="11">
        <f>X6</f>
        <v>0.002</v>
      </c>
      <c r="Y31" s="9">
        <f>Y6</f>
        <v>0.002</v>
      </c>
      <c r="Z31" s="9">
        <v>2.318</v>
      </c>
      <c r="AA31" s="164"/>
      <c r="AB31" s="164"/>
      <c r="AD31" s="27"/>
      <c r="AE31" s="78">
        <f t="shared" si="1"/>
        <v>0.3678571428571429</v>
      </c>
      <c r="AF31" s="78">
        <f t="shared" si="2"/>
        <v>0.07272727272727272</v>
      </c>
      <c r="AG31" s="78">
        <f t="shared" si="3"/>
        <v>8.922222222222222</v>
      </c>
      <c r="AH31" s="78">
        <f t="shared" si="4"/>
        <v>400.14285714285717</v>
      </c>
      <c r="AI31" s="78">
        <f t="shared" si="5"/>
        <v>0.7142857142857143</v>
      </c>
      <c r="AJ31" s="78">
        <f t="shared" si="6"/>
        <v>1.7857142857142858</v>
      </c>
      <c r="AK31" s="78">
        <f t="shared" si="7"/>
        <v>0.4838709677419355</v>
      </c>
      <c r="AL31" s="78">
        <f t="shared" si="8"/>
        <v>2.565897435897436</v>
      </c>
      <c r="AM31" s="78">
        <f t="shared" si="9"/>
        <v>47.635</v>
      </c>
      <c r="AN31" s="78">
        <f t="shared" si="10"/>
        <v>25.5</v>
      </c>
      <c r="AO31" s="78">
        <f t="shared" si="11"/>
        <v>137.82608695652175</v>
      </c>
      <c r="AP31" s="78">
        <f t="shared" si="12"/>
        <v>39.675000000000004</v>
      </c>
      <c r="AQ31" s="78">
        <f t="shared" si="13"/>
        <v>112.37142857142857</v>
      </c>
      <c r="AR31" s="68">
        <f t="shared" si="14"/>
        <v>0.24547089156850282</v>
      </c>
      <c r="AS31" s="78">
        <f t="shared" si="15"/>
        <v>4.838709677419355</v>
      </c>
      <c r="AT31" s="78">
        <f t="shared" si="16"/>
        <v>45.59375</v>
      </c>
      <c r="AU31" s="78">
        <f t="shared" si="17"/>
        <v>0.06349206349206349</v>
      </c>
      <c r="AV31" s="78">
        <f t="shared" si="18"/>
        <v>0.061538461538461535</v>
      </c>
      <c r="AW31" s="68"/>
      <c r="AX31" s="68"/>
      <c r="AY31" s="68"/>
      <c r="AZ31" s="68">
        <f t="shared" si="19"/>
        <v>2.5</v>
      </c>
      <c r="BA31" s="103">
        <f t="shared" si="20"/>
        <v>214.24127010670492</v>
      </c>
      <c r="BB31" s="103">
        <f t="shared" si="21"/>
        <v>153.83214285714286</v>
      </c>
      <c r="BC31" s="27">
        <f t="shared" si="22"/>
        <v>16.41224960073263</v>
      </c>
      <c r="BD31" s="79">
        <f>(('[1]setup'!$B$13*'[1]setup'!$B$14*'[1]setup'!$B$15)/10^(-S31))*10^6</f>
        <v>48.30519099047277</v>
      </c>
      <c r="BE31" s="73">
        <f t="shared" si="23"/>
        <v>22.30227733692244</v>
      </c>
      <c r="BF31" s="74">
        <f t="shared" si="24"/>
        <v>60.40912724956203</v>
      </c>
      <c r="BG31" s="72">
        <f t="shared" si="25"/>
        <v>214.4867409982734</v>
      </c>
      <c r="BH31" s="72">
        <f t="shared" si="26"/>
        <v>224.43961118453805</v>
      </c>
      <c r="BI31" s="75">
        <f t="shared" si="27"/>
        <v>2.2675490174532307</v>
      </c>
      <c r="BJ31" s="58"/>
      <c r="BK31" s="92">
        <f>(3*('[1]setup'!$D$19*(10^-S31)^3)+2*('[1]setup'!$D$20*'[1]setup'!$D$19*((10^-S31)^2))+('[1]setup'!$D$21*'[1]setup'!$D$19*10^-S31)+('[1]setup'!$D$19*'[1]setup'!$D$22*(AP31/(10^6*2))*(10^-S31)^3))*10^6</f>
        <v>0.0002586655740425167</v>
      </c>
      <c r="BL31" s="93">
        <f t="shared" si="28"/>
        <v>12.349665816231834</v>
      </c>
      <c r="BM31" s="74">
        <f>(BL31/((('[1]setup'!$C$26)/10^-S31)+2*(('[1]setup'!$C$26*'[1]setup'!$C$27)/(10^-S31^2))+3*(('[1]setup'!$C$26*'[1]setup'!$C$27*'[1]setup'!$C$28)/(10^-S31^3))))/(10^-S31^3/(10^-S31^3+'[1]setup'!$C$26*10^-S31^2+'[1]setup'!$C$26*'[1]setup'!$C$27*10^-S31+'[1]setup'!$C$26*'[1]setup'!$C$27*'[1]setup'!$C$28))</f>
        <v>4.786148123849704</v>
      </c>
      <c r="BN31" s="74"/>
      <c r="BO31" s="123">
        <f t="shared" si="32"/>
        <v>214.2412701067049</v>
      </c>
      <c r="BP31" s="123">
        <f t="shared" si="29"/>
        <v>153.83214285714286</v>
      </c>
      <c r="BQ31" s="123">
        <f t="shared" si="0"/>
        <v>1.3926950904250313</v>
      </c>
      <c r="BR31" s="123">
        <f t="shared" si="30"/>
        <v>59.69484153527634</v>
      </c>
      <c r="BS31" s="123">
        <f t="shared" si="31"/>
        <v>1.2265225129616735</v>
      </c>
      <c r="BT31" s="74"/>
      <c r="BV31" s="27"/>
      <c r="BW31" s="105"/>
      <c r="BX31" s="106"/>
      <c r="BY31" s="107"/>
      <c r="BZ31" s="107"/>
      <c r="CA31" s="106"/>
      <c r="CB31" s="108"/>
      <c r="CC31" s="104"/>
      <c r="CD31" s="107"/>
      <c r="CE31" s="109"/>
      <c r="CF31" s="114"/>
    </row>
    <row r="32" spans="1:84" s="116" customFormat="1" ht="12.75">
      <c r="A32" s="96">
        <v>38615</v>
      </c>
      <c r="B32" s="74">
        <v>13</v>
      </c>
      <c r="C32" s="26" t="s">
        <v>106</v>
      </c>
      <c r="D32" s="80">
        <v>844240</v>
      </c>
      <c r="E32" s="102"/>
      <c r="F32" s="4">
        <f>F6</f>
        <v>0.006</v>
      </c>
      <c r="G32" s="11">
        <f>G6</f>
        <v>0.002</v>
      </c>
      <c r="H32" s="9">
        <v>0.0437</v>
      </c>
      <c r="I32" s="4">
        <v>3.186</v>
      </c>
      <c r="J32" s="9">
        <f>J6</f>
        <v>0.01</v>
      </c>
      <c r="K32" s="4">
        <f>K6</f>
        <v>0.025</v>
      </c>
      <c r="L32" s="9">
        <v>0.00508</v>
      </c>
      <c r="M32" s="9">
        <v>0.1916</v>
      </c>
      <c r="N32" s="9">
        <v>1.139</v>
      </c>
      <c r="O32" s="9">
        <v>0.3719</v>
      </c>
      <c r="P32" s="9">
        <v>3.279</v>
      </c>
      <c r="Q32" s="4">
        <v>0.6904</v>
      </c>
      <c r="R32" s="4">
        <v>4.343</v>
      </c>
      <c r="S32" s="4">
        <v>6.67</v>
      </c>
      <c r="T32" s="4">
        <v>16.6</v>
      </c>
      <c r="U32" s="4">
        <v>29.31</v>
      </c>
      <c r="V32" s="85">
        <f>V6</f>
        <v>0.05</v>
      </c>
      <c r="W32" s="4">
        <v>0.7214</v>
      </c>
      <c r="X32" s="11">
        <f>X6</f>
        <v>0.002</v>
      </c>
      <c r="Y32" s="9">
        <v>0.00208</v>
      </c>
      <c r="Z32" s="9">
        <v>2.976</v>
      </c>
      <c r="AA32" s="163"/>
      <c r="AB32" s="163"/>
      <c r="AE32" s="78">
        <f t="shared" si="1"/>
        <v>0.2142857142857143</v>
      </c>
      <c r="AF32" s="78">
        <f t="shared" si="2"/>
        <v>0.07272727272727272</v>
      </c>
      <c r="AG32" s="78">
        <f t="shared" si="3"/>
        <v>4.855555555555556</v>
      </c>
      <c r="AH32" s="78">
        <f t="shared" si="4"/>
        <v>455.1428571428571</v>
      </c>
      <c r="AI32" s="78">
        <f t="shared" si="5"/>
        <v>0.7142857142857143</v>
      </c>
      <c r="AJ32" s="78">
        <f t="shared" si="6"/>
        <v>1.7857142857142858</v>
      </c>
      <c r="AK32" s="78">
        <f t="shared" si="7"/>
        <v>0.4916129032258064</v>
      </c>
      <c r="AL32" s="78">
        <f t="shared" si="8"/>
        <v>4.912820512820512</v>
      </c>
      <c r="AM32" s="78">
        <f t="shared" si="9"/>
        <v>56.95</v>
      </c>
      <c r="AN32" s="78">
        <f t="shared" si="10"/>
        <v>30.991666666666667</v>
      </c>
      <c r="AO32" s="78">
        <f t="shared" si="11"/>
        <v>142.56521739130434</v>
      </c>
      <c r="AP32" s="78">
        <f t="shared" si="12"/>
        <v>43.15</v>
      </c>
      <c r="AQ32" s="78">
        <f t="shared" si="13"/>
        <v>124.08571428571429</v>
      </c>
      <c r="AR32" s="68">
        <f t="shared" si="14"/>
        <v>0.21379620895022322</v>
      </c>
      <c r="AS32" s="78">
        <f t="shared" si="15"/>
        <v>4.838709677419355</v>
      </c>
      <c r="AT32" s="78">
        <f t="shared" si="16"/>
        <v>45.087500000000006</v>
      </c>
      <c r="AU32" s="78">
        <f t="shared" si="17"/>
        <v>0.06349206349206349</v>
      </c>
      <c r="AV32" s="78">
        <f t="shared" si="18"/>
        <v>0.064</v>
      </c>
      <c r="AW32" s="68"/>
      <c r="AX32" s="68"/>
      <c r="AY32" s="68"/>
      <c r="AZ32" s="68">
        <f t="shared" si="19"/>
        <v>2.5</v>
      </c>
      <c r="BA32" s="103">
        <f t="shared" si="20"/>
        <v>236.13399028507723</v>
      </c>
      <c r="BB32" s="103">
        <f t="shared" si="21"/>
        <v>169.02142857142857</v>
      </c>
      <c r="BC32" s="27">
        <f t="shared" si="22"/>
        <v>16.564646204921665</v>
      </c>
      <c r="BD32" s="79">
        <f>(('[1]setup'!$B$13*'[1]setup'!$B$14*'[1]setup'!$B$15)/10^(-S32))*10^6</f>
        <v>55.46177997280986</v>
      </c>
      <c r="BE32" s="73">
        <f t="shared" si="23"/>
        <v>28.722114812336223</v>
      </c>
      <c r="BF32" s="74">
        <f t="shared" si="24"/>
        <v>67.11256171364866</v>
      </c>
      <c r="BG32" s="72">
        <f t="shared" si="25"/>
        <v>236.34778649402745</v>
      </c>
      <c r="BH32" s="72">
        <f t="shared" si="26"/>
        <v>253.20532335657467</v>
      </c>
      <c r="BI32" s="75">
        <f t="shared" si="27"/>
        <v>3.4434541469242568</v>
      </c>
      <c r="BJ32" s="58"/>
      <c r="BK32" s="92">
        <f>(3*('[1]setup'!$D$19*(10^-S32)^3)+2*('[1]setup'!$D$20*'[1]setup'!$D$19*((10^-S32)^2))+('[1]setup'!$D$21*'[1]setup'!$D$19*10^-S32)+('[1]setup'!$D$19*'[1]setup'!$D$22*(AP32/(10^6*2))*(10^-S32)^3))*10^6</f>
        <v>0.00021998261079217478</v>
      </c>
      <c r="BL32" s="93">
        <f t="shared" si="28"/>
        <v>11.864797932399796</v>
      </c>
      <c r="BM32" s="74">
        <f>(BL32/((('[1]setup'!$C$26)/10^-S32)+2*(('[1]setup'!$C$26*'[1]setup'!$C$27)/(10^-S32^2))+3*(('[1]setup'!$C$26*'[1]setup'!$C$27*'[1]setup'!$C$28)/(10^-S32^3))))/(10^-S32^3/(10^-S32^3+'[1]setup'!$C$26*10^-S32^2+'[1]setup'!$C$26*'[1]setup'!$C$27*10^-S32+'[1]setup'!$C$26*'[1]setup'!$C$27*'[1]setup'!$C$28))</f>
        <v>4.538383079601937</v>
      </c>
      <c r="BN32" s="74"/>
      <c r="BO32" s="123">
        <f t="shared" si="32"/>
        <v>236.13399028507723</v>
      </c>
      <c r="BP32" s="123">
        <f t="shared" si="29"/>
        <v>169.02142857142857</v>
      </c>
      <c r="BQ32" s="123">
        <f t="shared" si="0"/>
        <v>1.3970654033685843</v>
      </c>
      <c r="BR32" s="123">
        <f t="shared" si="30"/>
        <v>66.39827599936294</v>
      </c>
      <c r="BS32" s="123">
        <f t="shared" si="31"/>
        <v>1.1489253070908707</v>
      </c>
      <c r="BT32" s="74"/>
      <c r="BV32" s="116" t="s">
        <v>107</v>
      </c>
      <c r="BW32" s="114"/>
      <c r="BX32" s="114"/>
      <c r="BY32" s="117"/>
      <c r="BZ32" s="117"/>
      <c r="CA32" s="117"/>
      <c r="CB32" s="117"/>
      <c r="CC32" s="117"/>
      <c r="CD32" s="117"/>
      <c r="CE32" s="117"/>
      <c r="CF32" s="117"/>
    </row>
    <row r="33" spans="1:166" s="119" customFormat="1" ht="12.75">
      <c r="A33" s="96">
        <v>38643</v>
      </c>
      <c r="B33" s="16"/>
      <c r="C33" s="8" t="s">
        <v>85</v>
      </c>
      <c r="D33" s="8">
        <v>842616</v>
      </c>
      <c r="E33" s="118"/>
      <c r="F33" s="82">
        <v>0.0134</v>
      </c>
      <c r="G33" s="11">
        <f>G6</f>
        <v>0.002</v>
      </c>
      <c r="H33" s="11">
        <v>0.1032</v>
      </c>
      <c r="I33" s="11">
        <v>2.733</v>
      </c>
      <c r="J33" s="11">
        <v>0.01006</v>
      </c>
      <c r="K33" s="75">
        <v>0.04558</v>
      </c>
      <c r="L33" s="11">
        <v>0.00505</v>
      </c>
      <c r="M33" s="11">
        <v>0.2135</v>
      </c>
      <c r="N33" s="11">
        <v>0.8083</v>
      </c>
      <c r="O33" s="11">
        <v>0.295</v>
      </c>
      <c r="P33" s="11">
        <v>2.989</v>
      </c>
      <c r="Q33" s="75">
        <v>0.639</v>
      </c>
      <c r="R33" s="75">
        <v>3.981</v>
      </c>
      <c r="S33" s="166">
        <v>6.51</v>
      </c>
      <c r="T33" s="145">
        <v>19.8</v>
      </c>
      <c r="U33" s="145">
        <v>26.339</v>
      </c>
      <c r="V33" s="85">
        <f>V6</f>
        <v>0.05</v>
      </c>
      <c r="W33" s="11">
        <v>0.712</v>
      </c>
      <c r="X33" s="11">
        <v>0.0036</v>
      </c>
      <c r="Y33" s="11">
        <v>0.002</v>
      </c>
      <c r="Z33" s="75">
        <v>3.386</v>
      </c>
      <c r="AA33" s="167"/>
      <c r="AB33" s="167"/>
      <c r="AE33" s="78">
        <f t="shared" si="1"/>
        <v>0.4785714285714286</v>
      </c>
      <c r="AF33" s="78">
        <f t="shared" si="2"/>
        <v>0.07272727272727272</v>
      </c>
      <c r="AG33" s="78">
        <f t="shared" si="3"/>
        <v>11.466666666666667</v>
      </c>
      <c r="AH33" s="78">
        <f t="shared" si="4"/>
        <v>390.42857142857144</v>
      </c>
      <c r="AI33" s="78">
        <f t="shared" si="5"/>
        <v>0.7185714285714285</v>
      </c>
      <c r="AJ33" s="78">
        <f t="shared" si="6"/>
        <v>3.255714285714286</v>
      </c>
      <c r="AK33" s="78">
        <f t="shared" si="7"/>
        <v>0.4887096774193548</v>
      </c>
      <c r="AL33" s="78">
        <f t="shared" si="8"/>
        <v>5.4743589743589745</v>
      </c>
      <c r="AM33" s="78">
        <f t="shared" si="9"/>
        <v>40.415</v>
      </c>
      <c r="AN33" s="78">
        <f t="shared" si="10"/>
        <v>24.583333333333332</v>
      </c>
      <c r="AO33" s="78">
        <f t="shared" si="11"/>
        <v>129.95652173913044</v>
      </c>
      <c r="AP33" s="78">
        <f t="shared" si="12"/>
        <v>39.9375</v>
      </c>
      <c r="AQ33" s="78">
        <f t="shared" si="13"/>
        <v>113.74285714285715</v>
      </c>
      <c r="AR33" s="68">
        <f t="shared" si="14"/>
        <v>0.3090295432513592</v>
      </c>
      <c r="AS33" s="78">
        <f t="shared" si="15"/>
        <v>4.838709677419355</v>
      </c>
      <c r="AT33" s="78">
        <f t="shared" si="16"/>
        <v>44.5</v>
      </c>
      <c r="AU33" s="78">
        <f t="shared" si="17"/>
        <v>0.11428571428571428</v>
      </c>
      <c r="AV33" s="78">
        <f t="shared" si="18"/>
        <v>0.061538461538461535</v>
      </c>
      <c r="AW33" s="68"/>
      <c r="AX33" s="68"/>
      <c r="AY33" s="68"/>
      <c r="AZ33" s="68">
        <f t="shared" si="19"/>
        <v>3.974285714285714</v>
      </c>
      <c r="BA33" s="103">
        <f t="shared" si="20"/>
        <v>201.14778547539416</v>
      </c>
      <c r="BB33" s="103">
        <f t="shared" si="21"/>
        <v>156.93607142857144</v>
      </c>
      <c r="BC33" s="27">
        <f t="shared" si="22"/>
        <v>12.346748727820993</v>
      </c>
      <c r="BD33" s="79">
        <f>(('[1]setup'!$B$13*'[1]setup'!$B$14*'[1]setup'!$B$15)/10^(-S33))*10^6</f>
        <v>38.370177087481466</v>
      </c>
      <c r="BE33" s="73">
        <f t="shared" si="23"/>
        <v>32.39236274590227</v>
      </c>
      <c r="BF33" s="74">
        <f t="shared" si="24"/>
        <v>44.21171404682278</v>
      </c>
      <c r="BG33" s="72">
        <f t="shared" si="25"/>
        <v>201.45681501864556</v>
      </c>
      <c r="BH33" s="72">
        <f t="shared" si="26"/>
        <v>227.69861126195514</v>
      </c>
      <c r="BI33" s="75">
        <f t="shared" si="27"/>
        <v>6.114753452086504</v>
      </c>
      <c r="BJ33" s="58"/>
      <c r="BK33" s="92">
        <f>(3*('[1]setup'!$D$19*(10^-S33)^3)+2*('[1]setup'!$D$20*'[1]setup'!$D$19*((10^-S33)^2))+('[1]setup'!$D$21*'[1]setup'!$D$19*10^-S33)+('[1]setup'!$D$19*'[1]setup'!$D$22*(AP33/(10^6*2))*(10^-S33)^3))*10^6</f>
        <v>0.00034159808865539317</v>
      </c>
      <c r="BL33" s="93">
        <f t="shared" si="28"/>
        <v>6.150908100681335</v>
      </c>
      <c r="BM33" s="74">
        <f>(BL33/((('[1]setup'!$C$26)/10^-S33)+2*(('[1]setup'!$C$26*'[1]setup'!$C$27)/(10^-S33^2))+3*(('[1]setup'!$C$26*'[1]setup'!$C$27*'[1]setup'!$C$28)/(10^-S33^3))))/(10^-S33^3/(10^-S33^3+'[1]setup'!$C$26*10^-S33^2+'[1]setup'!$C$26*'[1]setup'!$C$27*10^-S33+'[1]setup'!$C$26*'[1]setup'!$C$27*'[1]setup'!$C$28))</f>
        <v>2.4393108958372633</v>
      </c>
      <c r="BN33" s="74"/>
      <c r="BO33" s="123">
        <f t="shared" si="32"/>
        <v>201.1477854753942</v>
      </c>
      <c r="BP33" s="123">
        <f t="shared" si="29"/>
        <v>156.93607142857144</v>
      </c>
      <c r="BQ33" s="123">
        <f t="shared" si="0"/>
        <v>1.2817179864665178</v>
      </c>
      <c r="BR33" s="123">
        <f t="shared" si="30"/>
        <v>43.493142618251284</v>
      </c>
      <c r="BS33" s="123">
        <f t="shared" si="31"/>
        <v>1.142546661861232</v>
      </c>
      <c r="BT33" s="74"/>
      <c r="BU33" s="27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</row>
    <row r="34" spans="1:163" s="119" customFormat="1" ht="12.75">
      <c r="A34" s="96">
        <v>38657</v>
      </c>
      <c r="B34" s="16">
        <v>10</v>
      </c>
      <c r="C34" s="8" t="s">
        <v>85</v>
      </c>
      <c r="D34" s="8">
        <v>843489</v>
      </c>
      <c r="E34" s="118"/>
      <c r="F34" s="82">
        <v>0.0216</v>
      </c>
      <c r="G34" s="11">
        <f>G6</f>
        <v>0.002</v>
      </c>
      <c r="H34" s="11">
        <v>0.1675</v>
      </c>
      <c r="I34" s="11">
        <v>2.63</v>
      </c>
      <c r="J34" s="11">
        <v>0.0542</v>
      </c>
      <c r="K34" s="11">
        <v>0.03869</v>
      </c>
      <c r="L34" s="11">
        <v>0.00509</v>
      </c>
      <c r="M34" s="11">
        <v>0.2283</v>
      </c>
      <c r="N34" s="11">
        <v>0.7863</v>
      </c>
      <c r="O34" s="11">
        <v>0.2838</v>
      </c>
      <c r="P34" s="11">
        <v>2.936</v>
      </c>
      <c r="Q34" s="11">
        <v>0.5793</v>
      </c>
      <c r="R34" s="11">
        <v>3.899</v>
      </c>
      <c r="S34" s="145">
        <v>6.3</v>
      </c>
      <c r="T34" s="145">
        <v>17.9</v>
      </c>
      <c r="U34" s="145">
        <v>25.93</v>
      </c>
      <c r="V34" s="85">
        <f>V6</f>
        <v>0.05</v>
      </c>
      <c r="W34" s="11">
        <v>0.6482</v>
      </c>
      <c r="X34" s="11">
        <f>X6</f>
        <v>0.002</v>
      </c>
      <c r="Y34" s="11">
        <v>0.0022</v>
      </c>
      <c r="Z34" s="75">
        <v>4.487</v>
      </c>
      <c r="AA34" s="167"/>
      <c r="AB34" s="167"/>
      <c r="AC34" s="74"/>
      <c r="AD34" s="27"/>
      <c r="AE34" s="78">
        <f t="shared" si="1"/>
        <v>0.7714285714285715</v>
      </c>
      <c r="AF34" s="78">
        <f t="shared" si="2"/>
        <v>0.07272727272727272</v>
      </c>
      <c r="AG34" s="78">
        <f t="shared" si="3"/>
        <v>18.611111111111114</v>
      </c>
      <c r="AH34" s="78">
        <f t="shared" si="4"/>
        <v>375.7142857142857</v>
      </c>
      <c r="AI34" s="78">
        <f t="shared" si="5"/>
        <v>3.8714285714285714</v>
      </c>
      <c r="AJ34" s="78">
        <f t="shared" si="6"/>
        <v>2.763571428571429</v>
      </c>
      <c r="AK34" s="78">
        <f t="shared" si="7"/>
        <v>0.49258064516129035</v>
      </c>
      <c r="AL34" s="78">
        <f t="shared" si="8"/>
        <v>5.853846153846154</v>
      </c>
      <c r="AM34" s="78">
        <f t="shared" si="9"/>
        <v>39.315000000000005</v>
      </c>
      <c r="AN34" s="78">
        <f t="shared" si="10"/>
        <v>23.650000000000002</v>
      </c>
      <c r="AO34" s="78">
        <f t="shared" si="11"/>
        <v>127.65217391304348</v>
      </c>
      <c r="AP34" s="78">
        <f t="shared" si="12"/>
        <v>36.206250000000004</v>
      </c>
      <c r="AQ34" s="78">
        <f t="shared" si="13"/>
        <v>111.4</v>
      </c>
      <c r="AR34" s="68">
        <f t="shared" si="14"/>
        <v>0.5011872336272725</v>
      </c>
      <c r="AS34" s="78">
        <f t="shared" si="15"/>
        <v>4.838709677419355</v>
      </c>
      <c r="AT34" s="78">
        <f t="shared" si="16"/>
        <v>40.5125</v>
      </c>
      <c r="AU34" s="78">
        <f t="shared" si="17"/>
        <v>0.06349206349206349</v>
      </c>
      <c r="AV34" s="78">
        <f t="shared" si="18"/>
        <v>0.06769230769230769</v>
      </c>
      <c r="AW34" s="68"/>
      <c r="AX34" s="68"/>
      <c r="AY34" s="68"/>
      <c r="AZ34" s="68">
        <f t="shared" si="19"/>
        <v>6.635</v>
      </c>
      <c r="BA34" s="103">
        <f t="shared" si="20"/>
        <v>200.34244863831822</v>
      </c>
      <c r="BB34" s="103">
        <f t="shared" si="21"/>
        <v>150.36982142857144</v>
      </c>
      <c r="BC34" s="27">
        <f t="shared" si="22"/>
        <v>14.248896167851708</v>
      </c>
      <c r="BD34" s="79">
        <f>(('[1]setup'!$B$13*'[1]setup'!$B$14*'[1]setup'!$B$15)/10^(-S34))*10^6</f>
        <v>23.658859412680997</v>
      </c>
      <c r="BE34" s="73">
        <f t="shared" si="23"/>
        <v>42.308370595180044</v>
      </c>
      <c r="BF34" s="74">
        <f t="shared" si="24"/>
        <v>49.97262720974675</v>
      </c>
      <c r="BG34" s="72">
        <f t="shared" si="25"/>
        <v>200.84363587194545</v>
      </c>
      <c r="BH34" s="72">
        <f t="shared" si="26"/>
        <v>216.3370514364325</v>
      </c>
      <c r="BI34" s="75">
        <f t="shared" si="27"/>
        <v>3.7138381607378625</v>
      </c>
      <c r="BJ34" s="58"/>
      <c r="BK34" s="92">
        <f>(3*('[1]setup'!$D$19*(10^-S34)^3)+2*('[1]setup'!$D$20*'[1]setup'!$D$19*((10^-S34)^2))+('[1]setup'!$D$21*'[1]setup'!$D$19*10^-S34)+('[1]setup'!$D$19*'[1]setup'!$D$22*(AP34/(10^6*2))*(10^-S34)^3))*10^6</f>
        <v>0.0006396588257482704</v>
      </c>
      <c r="BL34" s="93">
        <f t="shared" si="28"/>
        <v>26.815594689518775</v>
      </c>
      <c r="BM34" s="74">
        <f>(BL34/((('[1]setup'!$C$26)/10^-S34)+2*(('[1]setup'!$C$26*'[1]setup'!$C$27)/(10^-S34^2))+3*(('[1]setup'!$C$26*'[1]setup'!$C$27*'[1]setup'!$C$28)/(10^-S34^3))))/(10^-S34^3/(10^-S34^3+'[1]setup'!$C$26*10^-S34^2+'[1]setup'!$C$26*'[1]setup'!$C$27*10^-S34+'[1]setup'!$C$26*'[1]setup'!$C$27*'[1]setup'!$C$28))</f>
        <v>11.193994507974761</v>
      </c>
      <c r="BN34" s="74"/>
      <c r="BO34" s="123">
        <f t="shared" si="32"/>
        <v>200.34244863831822</v>
      </c>
      <c r="BP34" s="123">
        <f t="shared" si="29"/>
        <v>150.36982142857144</v>
      </c>
      <c r="BQ34" s="123">
        <f t="shared" si="0"/>
        <v>1.3323314926824246</v>
      </c>
      <c r="BR34" s="123">
        <f t="shared" si="30"/>
        <v>46.10119863831821</v>
      </c>
      <c r="BS34" s="123">
        <f t="shared" si="31"/>
        <v>1.1458902505659199</v>
      </c>
      <c r="BT34" s="74"/>
      <c r="BU34" s="27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</row>
    <row r="35" spans="1:161" s="119" customFormat="1" ht="12.75">
      <c r="A35" s="96">
        <v>38670</v>
      </c>
      <c r="B35" s="16">
        <v>16.45</v>
      </c>
      <c r="C35" s="8" t="s">
        <v>85</v>
      </c>
      <c r="D35" s="8">
        <v>844740</v>
      </c>
      <c r="E35" s="118"/>
      <c r="F35" s="82">
        <v>0.0145</v>
      </c>
      <c r="G35" s="11">
        <v>0.002</v>
      </c>
      <c r="H35" s="11">
        <v>0.1223</v>
      </c>
      <c r="I35" s="11">
        <v>2.567</v>
      </c>
      <c r="J35" s="11">
        <f>J6</f>
        <v>0.01</v>
      </c>
      <c r="K35" s="75">
        <v>0.04789</v>
      </c>
      <c r="L35" s="11">
        <v>0.00503</v>
      </c>
      <c r="M35" s="11">
        <v>0.2453</v>
      </c>
      <c r="N35" s="11">
        <v>0.7339</v>
      </c>
      <c r="O35" s="11">
        <v>0.352</v>
      </c>
      <c r="P35" s="11">
        <v>2.916</v>
      </c>
      <c r="Q35" s="75">
        <v>0.6176</v>
      </c>
      <c r="R35" s="75">
        <v>5.146</v>
      </c>
      <c r="S35" s="11">
        <v>6.32</v>
      </c>
      <c r="T35" s="11">
        <v>18.4</v>
      </c>
      <c r="U35" s="11">
        <v>25.914</v>
      </c>
      <c r="V35" s="11">
        <v>0.0536</v>
      </c>
      <c r="W35" s="11">
        <v>0.6935</v>
      </c>
      <c r="X35" s="11">
        <f>X6</f>
        <v>0.002</v>
      </c>
      <c r="Y35" s="11">
        <v>0.00205</v>
      </c>
      <c r="Z35" s="11">
        <v>4.332</v>
      </c>
      <c r="AA35" s="167"/>
      <c r="AB35" s="167"/>
      <c r="AE35" s="78">
        <f t="shared" si="1"/>
        <v>0.5178571428571429</v>
      </c>
      <c r="AF35" s="78">
        <f t="shared" si="2"/>
        <v>0.07272727272727272</v>
      </c>
      <c r="AG35" s="78">
        <f t="shared" si="3"/>
        <v>13.58888888888889</v>
      </c>
      <c r="AH35" s="78">
        <f t="shared" si="4"/>
        <v>366.7142857142857</v>
      </c>
      <c r="AI35" s="78">
        <f t="shared" si="5"/>
        <v>0.7142857142857143</v>
      </c>
      <c r="AJ35" s="78">
        <f t="shared" si="6"/>
        <v>3.4207142857142863</v>
      </c>
      <c r="AK35" s="78">
        <f t="shared" si="7"/>
        <v>0.486774193548387</v>
      </c>
      <c r="AL35" s="78">
        <f t="shared" si="8"/>
        <v>6.28974358974359</v>
      </c>
      <c r="AM35" s="78">
        <f t="shared" si="9"/>
        <v>36.695</v>
      </c>
      <c r="AN35" s="78">
        <f t="shared" si="10"/>
        <v>29.333333333333332</v>
      </c>
      <c r="AO35" s="78">
        <f t="shared" si="11"/>
        <v>126.78260869565217</v>
      </c>
      <c r="AP35" s="78">
        <f t="shared" si="12"/>
        <v>38.6</v>
      </c>
      <c r="AQ35" s="78">
        <f t="shared" si="13"/>
        <v>147.02857142857144</v>
      </c>
      <c r="AR35" s="68">
        <f t="shared" si="14"/>
        <v>0.478630092322638</v>
      </c>
      <c r="AS35" s="78">
        <f t="shared" si="15"/>
        <v>5.187096774193549</v>
      </c>
      <c r="AT35" s="78">
        <f t="shared" si="16"/>
        <v>43.34375</v>
      </c>
      <c r="AU35" s="78">
        <f t="shared" si="17"/>
        <v>0.06349206349206349</v>
      </c>
      <c r="AV35" s="78">
        <f t="shared" si="18"/>
        <v>0.06307692307692307</v>
      </c>
      <c r="AW35" s="68"/>
      <c r="AX35" s="68"/>
      <c r="AY35" s="68"/>
      <c r="AZ35" s="68">
        <f t="shared" si="19"/>
        <v>4.135000000000001</v>
      </c>
      <c r="BA35" s="103">
        <f t="shared" si="20"/>
        <v>199.8149713330148</v>
      </c>
      <c r="BB35" s="103">
        <f t="shared" si="21"/>
        <v>189.04928571428573</v>
      </c>
      <c r="BC35" s="27">
        <f t="shared" si="22"/>
        <v>2.768494512834476</v>
      </c>
      <c r="BD35" s="79">
        <f>(('[1]setup'!$B$13*'[1]setup'!$B$14*'[1]setup'!$B$15)/10^(-S35))*10^6</f>
        <v>24.77386710534105</v>
      </c>
      <c r="BE35" s="73">
        <f t="shared" si="23"/>
        <v>40.909691645802845</v>
      </c>
      <c r="BF35" s="74">
        <f t="shared" si="24"/>
        <v>10.765685618729066</v>
      </c>
      <c r="BG35" s="72">
        <f t="shared" si="25"/>
        <v>200.29360142533744</v>
      </c>
      <c r="BH35" s="72">
        <f t="shared" si="26"/>
        <v>254.73284446542962</v>
      </c>
      <c r="BI35" s="75">
        <f t="shared" si="27"/>
        <v>11.963973419945088</v>
      </c>
      <c r="BJ35" s="58"/>
      <c r="BK35" s="92">
        <f>(3*('[1]setup'!$D$19*(10^-S35)^3)+2*('[1]setup'!$D$20*'[1]setup'!$D$19*((10^-S35)^2))+('[1]setup'!$D$21*'[1]setup'!$D$19*10^-S35)+('[1]setup'!$D$19*'[1]setup'!$D$22*(AP35/(10^6*2))*(10^-S35)^3))*10^6</f>
        <v>0.0006007254220124067</v>
      </c>
      <c r="BL35" s="93">
        <f t="shared" si="28"/>
        <v>-13.528950668867338</v>
      </c>
      <c r="BM35" s="74">
        <f>(BL35/((('[1]setup'!$C$26)/10^-S35)+2*(('[1]setup'!$C$26*'[1]setup'!$C$27)/(10^-S35^2))+3*(('[1]setup'!$C$26*'[1]setup'!$C$27*'[1]setup'!$C$28)/(10^-S35^3))))/(10^-S35^3/(10^-S35^3+'[1]setup'!$C$26*10^-S35^2+'[1]setup'!$C$26*'[1]setup'!$C$27*10^-S35+'[1]setup'!$C$26*'[1]setup'!$C$27*'[1]setup'!$C$28))</f>
        <v>-5.619623724432776</v>
      </c>
      <c r="BN35" s="74"/>
      <c r="BO35" s="123">
        <f t="shared" si="32"/>
        <v>199.8149713330148</v>
      </c>
      <c r="BP35" s="123">
        <f t="shared" si="29"/>
        <v>189.04928571428573</v>
      </c>
      <c r="BQ35" s="123">
        <f t="shared" si="0"/>
        <v>1.0569464495888097</v>
      </c>
      <c r="BR35" s="123">
        <f t="shared" si="30"/>
        <v>10.051399904443343</v>
      </c>
      <c r="BS35" s="123">
        <f t="shared" si="31"/>
        <v>0.8622991263792898</v>
      </c>
      <c r="BT35" s="74"/>
      <c r="BU35" s="27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1" s="119" customFormat="1" ht="12.75">
      <c r="A36" s="96">
        <v>38698</v>
      </c>
      <c r="B36" s="16">
        <v>15.5</v>
      </c>
      <c r="C36" s="8" t="s">
        <v>85</v>
      </c>
      <c r="D36" s="8">
        <v>846914</v>
      </c>
      <c r="E36" s="118"/>
      <c r="F36" s="11">
        <f>F6</f>
        <v>0.006</v>
      </c>
      <c r="G36" s="11">
        <f>G6</f>
        <v>0.002</v>
      </c>
      <c r="H36" s="11">
        <v>0.0668</v>
      </c>
      <c r="I36" s="11">
        <v>2.772</v>
      </c>
      <c r="J36" s="11">
        <v>0.01</v>
      </c>
      <c r="K36" s="75">
        <v>0.08296</v>
      </c>
      <c r="L36" s="11">
        <v>0.00506</v>
      </c>
      <c r="M36" s="11">
        <v>0.2633</v>
      </c>
      <c r="N36" s="11">
        <v>0.9243</v>
      </c>
      <c r="O36" s="11">
        <v>0.3525</v>
      </c>
      <c r="P36" s="11">
        <v>3.144</v>
      </c>
      <c r="Q36" s="75">
        <v>0.6704</v>
      </c>
      <c r="R36" s="75">
        <v>4.653</v>
      </c>
      <c r="S36" s="11">
        <v>6.45</v>
      </c>
      <c r="T36" s="145">
        <v>17.3</v>
      </c>
      <c r="U36" s="145">
        <v>28.839</v>
      </c>
      <c r="V36" s="85">
        <f>V6</f>
        <v>0.05</v>
      </c>
      <c r="W36" s="11">
        <v>0.7475</v>
      </c>
      <c r="X36" s="11">
        <f>X6</f>
        <v>0.002</v>
      </c>
      <c r="Y36" s="11">
        <f>Y6</f>
        <v>0.002</v>
      </c>
      <c r="Z36" s="11">
        <v>2.032</v>
      </c>
      <c r="AA36" s="163"/>
      <c r="AB36" s="163"/>
      <c r="AC36" s="27"/>
      <c r="AD36" s="27"/>
      <c r="AE36" s="78">
        <f t="shared" si="1"/>
        <v>0.2142857142857143</v>
      </c>
      <c r="AF36" s="78">
        <f t="shared" si="2"/>
        <v>0.07272727272727272</v>
      </c>
      <c r="AG36" s="78">
        <f t="shared" si="3"/>
        <v>7.422222222222222</v>
      </c>
      <c r="AH36" s="78">
        <f t="shared" si="4"/>
        <v>395.99999999999994</v>
      </c>
      <c r="AI36" s="78">
        <f t="shared" si="5"/>
        <v>0.7142857142857143</v>
      </c>
      <c r="AJ36" s="78">
        <f t="shared" si="6"/>
        <v>5.925714285714286</v>
      </c>
      <c r="AK36" s="78">
        <f t="shared" si="7"/>
        <v>0.4896774193548388</v>
      </c>
      <c r="AL36" s="78">
        <f t="shared" si="8"/>
        <v>6.75128205128205</v>
      </c>
      <c r="AM36" s="78">
        <f t="shared" si="9"/>
        <v>46.214999999999996</v>
      </c>
      <c r="AN36" s="78">
        <f t="shared" si="10"/>
        <v>29.375</v>
      </c>
      <c r="AO36" s="78">
        <f t="shared" si="11"/>
        <v>136.69565217391306</v>
      </c>
      <c r="AP36" s="78">
        <f t="shared" si="12"/>
        <v>41.9</v>
      </c>
      <c r="AQ36" s="78">
        <f t="shared" si="13"/>
        <v>132.94285714285715</v>
      </c>
      <c r="AR36" s="68">
        <f t="shared" si="14"/>
        <v>0.35481338923357525</v>
      </c>
      <c r="AS36" s="78">
        <f t="shared" si="15"/>
        <v>4.838709677419355</v>
      </c>
      <c r="AT36" s="78">
        <f t="shared" si="16"/>
        <v>46.71875</v>
      </c>
      <c r="AU36" s="78">
        <f t="shared" si="17"/>
        <v>0.06349206349206349</v>
      </c>
      <c r="AV36" s="78">
        <f t="shared" si="18"/>
        <v>0.061538461538461535</v>
      </c>
      <c r="AW36" s="68"/>
      <c r="AX36" s="68"/>
      <c r="AY36" s="68"/>
      <c r="AZ36" s="68">
        <f t="shared" si="19"/>
        <v>6.640000000000001</v>
      </c>
      <c r="BA36" s="103">
        <f t="shared" si="20"/>
        <v>219.75121993948085</v>
      </c>
      <c r="BB36" s="103">
        <f t="shared" si="21"/>
        <v>180.76857142857142</v>
      </c>
      <c r="BC36" s="27">
        <f t="shared" si="22"/>
        <v>9.733014285700266</v>
      </c>
      <c r="BD36" s="79">
        <f>(('[1]setup'!$B$13*'[1]setup'!$B$14*'[1]setup'!$B$15)/10^(-S36))*10^6</f>
        <v>33.41902718336343</v>
      </c>
      <c r="BE36" s="73">
        <f t="shared" si="23"/>
        <v>19.36601245056834</v>
      </c>
      <c r="BF36" s="74">
        <f t="shared" si="24"/>
        <v>38.9826485109094</v>
      </c>
      <c r="BG36" s="72">
        <f t="shared" si="25"/>
        <v>220.10603332871443</v>
      </c>
      <c r="BH36" s="72">
        <f t="shared" si="26"/>
        <v>233.55361106250322</v>
      </c>
      <c r="BI36" s="75">
        <f t="shared" si="27"/>
        <v>2.9642437673367628</v>
      </c>
      <c r="BJ36" s="58"/>
      <c r="BK36" s="92">
        <f>(3*('[1]setup'!$D$19*(10^-S36)^3)+2*('[1]setup'!$D$20*'[1]setup'!$D$19*((10^-S36)^2))+('[1]setup'!$D$21*'[1]setup'!$D$19*10^-S36)+('[1]setup'!$D$19*'[1]setup'!$D$22*(AP36/(10^6*2))*(10^-S36)^3))*10^6</f>
        <v>0.000405944138232823</v>
      </c>
      <c r="BL36" s="93">
        <f t="shared" si="28"/>
        <v>5.918840660917795</v>
      </c>
      <c r="BM36" s="74">
        <f>(BL36/((('[1]setup'!$C$26)/10^-S36)+2*(('[1]setup'!$C$26*'[1]setup'!$C$27)/(10^-S36^2))+3*(('[1]setup'!$C$26*'[1]setup'!$C$27*'[1]setup'!$C$28)/(10^-S36^3))))/(10^-S36^3/(10^-S36^3+'[1]setup'!$C$26*10^-S36^2+'[1]setup'!$C$26*'[1]setup'!$C$27*10^-S36+'[1]setup'!$C$26*'[1]setup'!$C$27*'[1]setup'!$C$28))</f>
        <v>2.381241316594183</v>
      </c>
      <c r="BN36" s="74"/>
      <c r="BO36" s="123">
        <f t="shared" si="32"/>
        <v>219.75121993948082</v>
      </c>
      <c r="BP36" s="123">
        <f t="shared" si="29"/>
        <v>180.76857142857142</v>
      </c>
      <c r="BQ36" s="123">
        <f t="shared" si="0"/>
        <v>1.2156494804535916</v>
      </c>
      <c r="BR36" s="123">
        <f t="shared" si="30"/>
        <v>38.268362796623705</v>
      </c>
      <c r="BS36" s="123">
        <f t="shared" si="31"/>
        <v>1.0282286322989376</v>
      </c>
      <c r="BT36" s="74"/>
      <c r="BU36" s="27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pans="1:161" s="119" customFormat="1" ht="12.75">
      <c r="A37" s="96">
        <v>38726</v>
      </c>
      <c r="B37" s="16">
        <v>16</v>
      </c>
      <c r="C37" s="8" t="s">
        <v>85</v>
      </c>
      <c r="D37" s="8">
        <v>847593</v>
      </c>
      <c r="E37" s="118"/>
      <c r="F37" s="82">
        <v>0.0069</v>
      </c>
      <c r="G37" s="11">
        <f>G6</f>
        <v>0.002</v>
      </c>
      <c r="H37" s="75">
        <v>0.0267</v>
      </c>
      <c r="I37" s="11">
        <v>3.769</v>
      </c>
      <c r="J37" s="11">
        <f>J6</f>
        <v>0.01</v>
      </c>
      <c r="K37" s="75">
        <v>0.08759</v>
      </c>
      <c r="L37" s="11">
        <v>0.005</v>
      </c>
      <c r="M37" s="11">
        <v>0.2238</v>
      </c>
      <c r="N37" s="11">
        <v>1.224</v>
      </c>
      <c r="O37" s="11">
        <v>0.4118</v>
      </c>
      <c r="P37" s="11">
        <v>3.524</v>
      </c>
      <c r="Q37" s="75">
        <v>0.7465</v>
      </c>
      <c r="R37" s="75">
        <v>4.606</v>
      </c>
      <c r="S37" s="75">
        <v>6.87</v>
      </c>
      <c r="T37" s="75">
        <v>18.2</v>
      </c>
      <c r="U37" s="75">
        <v>31.68</v>
      </c>
      <c r="V37" s="85">
        <f>V6</f>
        <v>0.05</v>
      </c>
      <c r="W37" s="11">
        <v>0.812</v>
      </c>
      <c r="X37" s="11">
        <f>X6</f>
        <v>0.002</v>
      </c>
      <c r="Y37" s="11">
        <f>Y6</f>
        <v>0.002</v>
      </c>
      <c r="Z37" s="11">
        <v>1.410647785573865</v>
      </c>
      <c r="AA37" s="163"/>
      <c r="AB37" s="163"/>
      <c r="AC37" s="27"/>
      <c r="AD37" s="27"/>
      <c r="AE37" s="78">
        <f t="shared" si="1"/>
        <v>0.24642857142857144</v>
      </c>
      <c r="AF37" s="78">
        <f t="shared" si="2"/>
        <v>0.07272727272727272</v>
      </c>
      <c r="AG37" s="78">
        <f t="shared" si="3"/>
        <v>2.966666666666667</v>
      </c>
      <c r="AH37" s="78">
        <f t="shared" si="4"/>
        <v>538.4285714285714</v>
      </c>
      <c r="AI37" s="78">
        <f t="shared" si="5"/>
        <v>0.7142857142857143</v>
      </c>
      <c r="AJ37" s="78">
        <f t="shared" si="6"/>
        <v>6.256428571428572</v>
      </c>
      <c r="AK37" s="78">
        <f t="shared" si="7"/>
        <v>0.4838709677419355</v>
      </c>
      <c r="AL37" s="78">
        <f t="shared" si="8"/>
        <v>5.7384615384615385</v>
      </c>
      <c r="AM37" s="78">
        <f t="shared" si="9"/>
        <v>61.199999999999996</v>
      </c>
      <c r="AN37" s="78">
        <f t="shared" si="10"/>
        <v>34.31666666666667</v>
      </c>
      <c r="AO37" s="78">
        <f t="shared" si="11"/>
        <v>153.21739130434784</v>
      </c>
      <c r="AP37" s="78">
        <f t="shared" si="12"/>
        <v>46.65625</v>
      </c>
      <c r="AQ37" s="78">
        <f t="shared" si="13"/>
        <v>131.6</v>
      </c>
      <c r="AR37" s="68">
        <f t="shared" si="14"/>
        <v>0.13489628825916528</v>
      </c>
      <c r="AS37" s="78">
        <f t="shared" si="15"/>
        <v>4.838709677419355</v>
      </c>
      <c r="AT37" s="78">
        <f t="shared" si="16"/>
        <v>50.75</v>
      </c>
      <c r="AU37" s="78">
        <f t="shared" si="17"/>
        <v>0.06349206349206349</v>
      </c>
      <c r="AV37" s="78">
        <f t="shared" si="18"/>
        <v>0.061538461538461535</v>
      </c>
      <c r="AW37" s="68"/>
      <c r="AX37" s="68"/>
      <c r="AY37" s="68"/>
      <c r="AZ37" s="68">
        <f t="shared" si="19"/>
        <v>6.970714285714286</v>
      </c>
      <c r="BA37" s="103">
        <f t="shared" si="20"/>
        <v>255.18680522376178</v>
      </c>
      <c r="BB37" s="103">
        <f t="shared" si="21"/>
        <v>184.51267857142858</v>
      </c>
      <c r="BC37" s="27">
        <f t="shared" si="22"/>
        <v>16.073279423100896</v>
      </c>
      <c r="BD37" s="79">
        <f>(('[1]setup'!$B$13*'[1]setup'!$B$14*'[1]setup'!$B$15)/10^(-S37))*10^6</f>
        <v>87.90099752068245</v>
      </c>
      <c r="BE37" s="73">
        <f t="shared" si="23"/>
        <v>13.734819537329818</v>
      </c>
      <c r="BF37" s="74">
        <f t="shared" si="24"/>
        <v>70.6741266523332</v>
      </c>
      <c r="BG37" s="72">
        <f t="shared" si="25"/>
        <v>255.32170151202095</v>
      </c>
      <c r="BH37" s="72">
        <f t="shared" si="26"/>
        <v>286.14849562944084</v>
      </c>
      <c r="BI37" s="75">
        <f t="shared" si="27"/>
        <v>5.693165437389021</v>
      </c>
      <c r="BJ37" s="58"/>
      <c r="BK37" s="92">
        <f>(3*('[1]setup'!$D$19*(10^-S37)^3)+2*('[1]setup'!$D$20*'[1]setup'!$D$19*((10^-S37)^2))+('[1]setup'!$D$21*'[1]setup'!$D$19*10^-S37)+('[1]setup'!$D$19*'[1]setup'!$D$22*(AP37/(10^6*2))*(10^-S37)^3))*10^6</f>
        <v>0.00013081340808180887</v>
      </c>
      <c r="BL37" s="93">
        <f t="shared" si="28"/>
        <v>-17.09184376668199</v>
      </c>
      <c r="BM37" s="74">
        <f>(BL37/((('[1]setup'!$C$26)/10^-S37)+2*(('[1]setup'!$C$26*'[1]setup'!$C$27)/(10^-S37^2))+3*(('[1]setup'!$C$26*'[1]setup'!$C$27*'[1]setup'!$C$28)/(10^-S37^3))))/(10^-S37^3/(10^-S37^3+'[1]setup'!$C$26*10^-S37^2+'[1]setup'!$C$26*'[1]setup'!$C$27*10^-S37+'[1]setup'!$C$26*'[1]setup'!$C$27*'[1]setup'!$C$28))</f>
        <v>-6.288810286610228</v>
      </c>
      <c r="BN37" s="74"/>
      <c r="BO37" s="123">
        <f t="shared" si="32"/>
        <v>255.18680522376175</v>
      </c>
      <c r="BP37" s="123">
        <f t="shared" si="29"/>
        <v>184.51267857142858</v>
      </c>
      <c r="BQ37" s="123">
        <f t="shared" si="0"/>
        <v>1.3830312756799192</v>
      </c>
      <c r="BR37" s="123">
        <f t="shared" si="30"/>
        <v>69.95984093804748</v>
      </c>
      <c r="BS37" s="123">
        <f t="shared" si="31"/>
        <v>1.1642658913704245</v>
      </c>
      <c r="BT37" s="74"/>
      <c r="BU37" s="27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pans="1:161" s="119" customFormat="1" ht="12.75">
      <c r="A38" s="96">
        <v>38755</v>
      </c>
      <c r="B38" s="16">
        <v>10</v>
      </c>
      <c r="C38" s="8" t="s">
        <v>85</v>
      </c>
      <c r="D38" s="8">
        <v>850075</v>
      </c>
      <c r="E38" s="118"/>
      <c r="F38" s="11">
        <f>F6</f>
        <v>0.006</v>
      </c>
      <c r="G38" s="11">
        <f>G6</f>
        <v>0.002</v>
      </c>
      <c r="H38" s="11">
        <v>0.0466</v>
      </c>
      <c r="I38" s="11">
        <v>3.338</v>
      </c>
      <c r="J38" s="11">
        <v>0.0137</v>
      </c>
      <c r="K38" s="75">
        <v>0.09185</v>
      </c>
      <c r="L38" s="11">
        <v>0.00506</v>
      </c>
      <c r="M38" s="11">
        <v>0.1954</v>
      </c>
      <c r="N38" s="11">
        <v>1.253</v>
      </c>
      <c r="O38" s="11">
        <v>0.4353</v>
      </c>
      <c r="P38" s="11">
        <v>3.77</v>
      </c>
      <c r="Q38" s="75">
        <v>0.7515</v>
      </c>
      <c r="R38" s="75">
        <v>4.601</v>
      </c>
      <c r="S38" s="11">
        <v>6.8</v>
      </c>
      <c r="T38" s="11">
        <v>17.5</v>
      </c>
      <c r="U38" s="11">
        <v>31.991</v>
      </c>
      <c r="V38" s="85">
        <f>V6</f>
        <v>0.05</v>
      </c>
      <c r="W38" s="11">
        <v>0.7593</v>
      </c>
      <c r="X38" s="11">
        <f>X6</f>
        <v>0.002</v>
      </c>
      <c r="Y38" s="11">
        <v>0.002</v>
      </c>
      <c r="Z38" s="11">
        <v>4.418004904675263</v>
      </c>
      <c r="AA38" s="163"/>
      <c r="AB38" s="163"/>
      <c r="AC38" s="27"/>
      <c r="AD38" s="27"/>
      <c r="AE38" s="78">
        <f t="shared" si="1"/>
        <v>0.2142857142857143</v>
      </c>
      <c r="AF38" s="78">
        <f t="shared" si="2"/>
        <v>0.07272727272727272</v>
      </c>
      <c r="AG38" s="78">
        <f t="shared" si="3"/>
        <v>5.177777777777779</v>
      </c>
      <c r="AH38" s="78">
        <f t="shared" si="4"/>
        <v>476.8571428571429</v>
      </c>
      <c r="AI38" s="78">
        <f t="shared" si="5"/>
        <v>0.9785714285714286</v>
      </c>
      <c r="AJ38" s="78">
        <f t="shared" si="6"/>
        <v>6.560714285714286</v>
      </c>
      <c r="AK38" s="78">
        <f t="shared" si="7"/>
        <v>0.4896774193548388</v>
      </c>
      <c r="AL38" s="78">
        <f t="shared" si="8"/>
        <v>5.01025641025641</v>
      </c>
      <c r="AM38" s="78">
        <f t="shared" si="9"/>
        <v>62.65</v>
      </c>
      <c r="AN38" s="78">
        <f t="shared" si="10"/>
        <v>36.275</v>
      </c>
      <c r="AO38" s="78">
        <f t="shared" si="11"/>
        <v>163.91304347826087</v>
      </c>
      <c r="AP38" s="78">
        <f t="shared" si="12"/>
        <v>46.96875</v>
      </c>
      <c r="AQ38" s="78">
        <f t="shared" si="13"/>
        <v>131.45714285714286</v>
      </c>
      <c r="AR38" s="68">
        <f t="shared" si="14"/>
        <v>0.1584893192461114</v>
      </c>
      <c r="AS38" s="78">
        <f t="shared" si="15"/>
        <v>4.838709677419355</v>
      </c>
      <c r="AT38" s="78">
        <f t="shared" si="16"/>
        <v>47.45625</v>
      </c>
      <c r="AU38" s="78">
        <f t="shared" si="17"/>
        <v>0.06349206349206349</v>
      </c>
      <c r="AV38" s="78">
        <f t="shared" si="18"/>
        <v>0.061538461538461535</v>
      </c>
      <c r="AW38" s="68"/>
      <c r="AX38" s="68"/>
      <c r="AY38" s="68"/>
      <c r="AZ38" s="68">
        <f t="shared" si="19"/>
        <v>7.539285714285715</v>
      </c>
      <c r="BA38" s="103">
        <f t="shared" si="20"/>
        <v>268.8268713170888</v>
      </c>
      <c r="BB38" s="103">
        <f t="shared" si="21"/>
        <v>184.98660714285714</v>
      </c>
      <c r="BC38" s="27">
        <f t="shared" si="22"/>
        <v>18.474608656126872</v>
      </c>
      <c r="BD38" s="79">
        <f>(('[1]setup'!$B$13*'[1]setup'!$B$14*'[1]setup'!$B$15)/10^(-S38))*10^6</f>
        <v>74.81588258578554</v>
      </c>
      <c r="BE38" s="73">
        <f t="shared" si="23"/>
        <v>42.894635186258235</v>
      </c>
      <c r="BF38" s="74">
        <f t="shared" si="24"/>
        <v>83.84026417423163</v>
      </c>
      <c r="BG38" s="72">
        <f t="shared" si="25"/>
        <v>268.98536063633486</v>
      </c>
      <c r="BH38" s="72">
        <f t="shared" si="26"/>
        <v>302.6971249149009</v>
      </c>
      <c r="BI38" s="75">
        <f t="shared" si="27"/>
        <v>5.896938445833266</v>
      </c>
      <c r="BJ38" s="58"/>
      <c r="BK38" s="92">
        <f>(3*('[1]setup'!$D$19*(10^-S38)^3)+2*('[1]setup'!$D$20*'[1]setup'!$D$19*((10^-S38)^2))+('[1]setup'!$D$21*'[1]setup'!$D$19*10^-S38)+('[1]setup'!$D$19*'[1]setup'!$D$22*(AP38/(10^6*2))*(10^-S38)^3))*10^6</f>
        <v>0.00015643603006244532</v>
      </c>
      <c r="BL38" s="93">
        <f t="shared" si="28"/>
        <v>9.183027343722244</v>
      </c>
      <c r="BM38" s="74">
        <f>(BL38/((('[1]setup'!$C$26)/10^-S38)+2*(('[1]setup'!$C$26*'[1]setup'!$C$27)/(10^-S38^2))+3*(('[1]setup'!$C$26*'[1]setup'!$C$27*'[1]setup'!$C$28)/(10^-S38^3))))/(10^-S38^3/(10^-S38^3+'[1]setup'!$C$26*10^-S38^2+'[1]setup'!$C$26*'[1]setup'!$C$27*10^-S38+'[1]setup'!$C$26*'[1]setup'!$C$27*'[1]setup'!$C$28))</f>
        <v>3.421917790554664</v>
      </c>
      <c r="BN38" s="74"/>
      <c r="BO38" s="123">
        <f t="shared" si="32"/>
        <v>268.8268713170887</v>
      </c>
      <c r="BP38" s="123">
        <f t="shared" si="29"/>
        <v>184.98660714285714</v>
      </c>
      <c r="BQ38" s="123">
        <f t="shared" si="0"/>
        <v>1.4532234277343408</v>
      </c>
      <c r="BR38" s="123">
        <f t="shared" si="30"/>
        <v>82.86169274566018</v>
      </c>
      <c r="BS38" s="123">
        <f t="shared" si="31"/>
        <v>1.2468933974655794</v>
      </c>
      <c r="BT38" s="74"/>
      <c r="BU38" s="27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</row>
    <row r="39" spans="1:161" s="119" customFormat="1" ht="12.75">
      <c r="A39" s="96">
        <v>38810</v>
      </c>
      <c r="B39" s="16">
        <v>11.2</v>
      </c>
      <c r="C39" s="8" t="s">
        <v>85</v>
      </c>
      <c r="D39" s="8">
        <v>855669</v>
      </c>
      <c r="E39" s="118"/>
      <c r="F39" s="82">
        <v>0.0163</v>
      </c>
      <c r="G39" s="11">
        <f>G6</f>
        <v>0.002</v>
      </c>
      <c r="H39" s="11">
        <v>0.1104</v>
      </c>
      <c r="I39" s="11">
        <v>2.342</v>
      </c>
      <c r="J39" s="11">
        <v>0.0144</v>
      </c>
      <c r="K39" s="75">
        <v>0.03742</v>
      </c>
      <c r="L39" s="11">
        <f>L6</f>
        <v>0.005</v>
      </c>
      <c r="M39" s="11">
        <v>0.2313</v>
      </c>
      <c r="N39" s="11">
        <v>0.8319</v>
      </c>
      <c r="O39" s="11">
        <v>0.324</v>
      </c>
      <c r="P39" s="11">
        <v>2.857</v>
      </c>
      <c r="Q39" s="75">
        <v>0.6172</v>
      </c>
      <c r="R39" s="75">
        <v>4.013</v>
      </c>
      <c r="S39" s="11">
        <v>6.37</v>
      </c>
      <c r="T39" s="11">
        <v>17.5</v>
      </c>
      <c r="U39" s="11">
        <v>25.761</v>
      </c>
      <c r="V39" s="85">
        <f>V6</f>
        <v>0.05</v>
      </c>
      <c r="W39" s="11">
        <v>0.7754</v>
      </c>
      <c r="X39" s="11">
        <f>X6</f>
        <v>0.002</v>
      </c>
      <c r="Y39" s="11">
        <f>Y6</f>
        <v>0.002</v>
      </c>
      <c r="Z39" s="11">
        <v>2.989</v>
      </c>
      <c r="AA39" s="163"/>
      <c r="AB39" s="163"/>
      <c r="AC39" s="27"/>
      <c r="AD39" s="27"/>
      <c r="AE39" s="78">
        <f t="shared" si="1"/>
        <v>0.5821428571428572</v>
      </c>
      <c r="AF39" s="78">
        <f t="shared" si="2"/>
        <v>0.07272727272727272</v>
      </c>
      <c r="AG39" s="78">
        <f t="shared" si="3"/>
        <v>12.266666666666666</v>
      </c>
      <c r="AH39" s="78">
        <f t="shared" si="4"/>
        <v>334.57142857142856</v>
      </c>
      <c r="AI39" s="78">
        <f t="shared" si="5"/>
        <v>1.0285714285714287</v>
      </c>
      <c r="AJ39" s="78">
        <f t="shared" si="6"/>
        <v>2.672857142857143</v>
      </c>
      <c r="AK39" s="78">
        <f t="shared" si="7"/>
        <v>0.4838709677419355</v>
      </c>
      <c r="AL39" s="78">
        <f t="shared" si="8"/>
        <v>5.930769230769231</v>
      </c>
      <c r="AM39" s="78">
        <f t="shared" si="9"/>
        <v>41.595</v>
      </c>
      <c r="AN39" s="78">
        <f t="shared" si="10"/>
        <v>27</v>
      </c>
      <c r="AO39" s="78">
        <f t="shared" si="11"/>
        <v>124.21739130434784</v>
      </c>
      <c r="AP39" s="78">
        <f t="shared" si="12"/>
        <v>38.574999999999996</v>
      </c>
      <c r="AQ39" s="78">
        <f t="shared" si="13"/>
        <v>114.65714285714286</v>
      </c>
      <c r="AR39" s="68">
        <f t="shared" si="14"/>
        <v>0.4265795188015925</v>
      </c>
      <c r="AS39" s="78">
        <f t="shared" si="15"/>
        <v>4.838709677419355</v>
      </c>
      <c r="AT39" s="78">
        <f t="shared" si="16"/>
        <v>48.4625</v>
      </c>
      <c r="AU39" s="78">
        <f t="shared" si="17"/>
        <v>0.06349206349206349</v>
      </c>
      <c r="AV39" s="78">
        <f t="shared" si="18"/>
        <v>0.061538461538461535</v>
      </c>
      <c r="AW39" s="68"/>
      <c r="AX39" s="68"/>
      <c r="AY39" s="68"/>
      <c r="AZ39" s="68">
        <f t="shared" si="19"/>
        <v>3.701428571428572</v>
      </c>
      <c r="BA39" s="103">
        <f t="shared" si="20"/>
        <v>199.7717319636885</v>
      </c>
      <c r="BB39" s="103">
        <f t="shared" si="21"/>
        <v>155.905</v>
      </c>
      <c r="BC39" s="27">
        <f t="shared" si="22"/>
        <v>12.333315064356503</v>
      </c>
      <c r="BD39" s="79">
        <f>(('[1]setup'!$B$13*'[1]setup'!$B$14*'[1]setup'!$B$15)/10^(-S39))*10^6</f>
        <v>27.796736076617005</v>
      </c>
      <c r="BE39" s="73">
        <f t="shared" si="23"/>
        <v>28.331283441426585</v>
      </c>
      <c r="BF39" s="74">
        <f t="shared" si="24"/>
        <v>43.86673196368852</v>
      </c>
      <c r="BG39" s="72">
        <f t="shared" si="25"/>
        <v>200.1983114824901</v>
      </c>
      <c r="BH39" s="72">
        <f t="shared" si="26"/>
        <v>212.0330195180436</v>
      </c>
      <c r="BI39" s="75">
        <f t="shared" si="27"/>
        <v>2.8708899944187327</v>
      </c>
      <c r="BJ39" s="58"/>
      <c r="BK39" s="92">
        <f>(3*('[1]setup'!$D$19*(10^-S39)^3)+2*('[1]setup'!$D$20*'[1]setup'!$D$19*((10^-S39)^2))+('[1]setup'!$D$21*'[1]setup'!$D$19*10^-S39)+('[1]setup'!$D$19*'[1]setup'!$D$22*(AP39/(10^6*2))*(10^-S39)^3))*10^6</f>
        <v>0.0005150102826723478</v>
      </c>
      <c r="BL39" s="93">
        <f t="shared" si="28"/>
        <v>16.49709041615577</v>
      </c>
      <c r="BM39" s="74">
        <f>(BL39/((('[1]setup'!$C$26)/10^-S39)+2*(('[1]setup'!$C$26*'[1]setup'!$C$27)/(10^-S39^2))+3*(('[1]setup'!$C$26*'[1]setup'!$C$27*'[1]setup'!$C$28)/(10^-S39^3))))/(10^-S39^3/(10^-S39^3+'[1]setup'!$C$26*10^-S39^2+'[1]setup'!$C$26*'[1]setup'!$C$27*10^-S39+'[1]setup'!$C$26*'[1]setup'!$C$27*'[1]setup'!$C$28))</f>
        <v>6.768252337589143</v>
      </c>
      <c r="BN39" s="74"/>
      <c r="BO39" s="123">
        <f t="shared" si="32"/>
        <v>199.7717319636885</v>
      </c>
      <c r="BP39" s="123">
        <f t="shared" si="29"/>
        <v>155.905</v>
      </c>
      <c r="BQ39" s="123">
        <f t="shared" si="0"/>
        <v>1.2813683458752991</v>
      </c>
      <c r="BR39" s="123">
        <f t="shared" si="30"/>
        <v>42.838160535117055</v>
      </c>
      <c r="BS39" s="123">
        <f t="shared" si="31"/>
        <v>1.0833811850615935</v>
      </c>
      <c r="BT39" s="74"/>
      <c r="BU39" s="27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</row>
    <row r="40" spans="1:161" s="119" customFormat="1" ht="12.75">
      <c r="A40" s="96">
        <v>38825</v>
      </c>
      <c r="B40" s="16">
        <v>17.4</v>
      </c>
      <c r="C40" s="8" t="s">
        <v>85</v>
      </c>
      <c r="D40" s="8">
        <v>856289</v>
      </c>
      <c r="E40" s="120"/>
      <c r="F40" s="9">
        <f>F6</f>
        <v>0.006</v>
      </c>
      <c r="G40" s="11">
        <f>G6</f>
        <v>0.002</v>
      </c>
      <c r="H40" s="9">
        <v>0.0714</v>
      </c>
      <c r="I40" s="9">
        <v>2.488</v>
      </c>
      <c r="J40" s="9">
        <f>J6</f>
        <v>0.01</v>
      </c>
      <c r="K40" s="4">
        <v>0.025056</v>
      </c>
      <c r="L40" s="4">
        <v>0.005</v>
      </c>
      <c r="M40" s="9">
        <v>0.1563</v>
      </c>
      <c r="N40" s="9">
        <v>0.8874</v>
      </c>
      <c r="O40" s="9">
        <v>0.3578</v>
      </c>
      <c r="P40" s="9">
        <v>3.046</v>
      </c>
      <c r="Q40" s="4">
        <v>0.6284</v>
      </c>
      <c r="R40" s="4">
        <v>3.961</v>
      </c>
      <c r="S40" s="11">
        <v>6.66</v>
      </c>
      <c r="T40" s="11">
        <v>19.7</v>
      </c>
      <c r="U40" s="11">
        <v>26.744</v>
      </c>
      <c r="V40" s="85">
        <f>V6</f>
        <v>0.05</v>
      </c>
      <c r="W40" s="9">
        <v>0.673</v>
      </c>
      <c r="X40" s="11">
        <f>X6</f>
        <v>0.002</v>
      </c>
      <c r="Y40" s="9">
        <f>Y6</f>
        <v>0.002</v>
      </c>
      <c r="Z40" s="9">
        <v>2.084</v>
      </c>
      <c r="AA40" s="163"/>
      <c r="AB40" s="163"/>
      <c r="AC40" s="27"/>
      <c r="AD40" s="27"/>
      <c r="AE40" s="78">
        <f t="shared" si="1"/>
        <v>0.2142857142857143</v>
      </c>
      <c r="AF40" s="78">
        <f t="shared" si="2"/>
        <v>0.07272727272727272</v>
      </c>
      <c r="AG40" s="78">
        <f t="shared" si="3"/>
        <v>7.933333333333334</v>
      </c>
      <c r="AH40" s="78">
        <f t="shared" si="4"/>
        <v>355.42857142857144</v>
      </c>
      <c r="AI40" s="78">
        <f t="shared" si="5"/>
        <v>0.7142857142857143</v>
      </c>
      <c r="AJ40" s="78">
        <f t="shared" si="6"/>
        <v>1.7897142857142856</v>
      </c>
      <c r="AK40" s="78">
        <f t="shared" si="7"/>
        <v>0.4838709677419355</v>
      </c>
      <c r="AL40" s="78">
        <f t="shared" si="8"/>
        <v>4.007692307692308</v>
      </c>
      <c r="AM40" s="78">
        <f t="shared" si="9"/>
        <v>44.37</v>
      </c>
      <c r="AN40" s="78">
        <f t="shared" si="10"/>
        <v>29.81666666666667</v>
      </c>
      <c r="AO40" s="78">
        <f t="shared" si="11"/>
        <v>132.43478260869566</v>
      </c>
      <c r="AP40" s="78">
        <f t="shared" si="12"/>
        <v>39.275</v>
      </c>
      <c r="AQ40" s="78">
        <f t="shared" si="13"/>
        <v>113.17142857142856</v>
      </c>
      <c r="AR40" s="68">
        <f t="shared" si="14"/>
        <v>0.21877616239495515</v>
      </c>
      <c r="AS40" s="78">
        <f t="shared" si="15"/>
        <v>4.838709677419355</v>
      </c>
      <c r="AT40" s="78">
        <f t="shared" si="16"/>
        <v>42.0625</v>
      </c>
      <c r="AU40" s="78">
        <f t="shared" si="17"/>
        <v>0.06349206349206349</v>
      </c>
      <c r="AV40" s="78">
        <f t="shared" si="18"/>
        <v>0.061538461538461535</v>
      </c>
      <c r="AW40" s="68"/>
      <c r="AX40" s="68"/>
      <c r="AY40" s="68"/>
      <c r="AZ40" s="68">
        <f t="shared" si="19"/>
        <v>2.504</v>
      </c>
      <c r="BA40" s="103">
        <f t="shared" si="20"/>
        <v>211.34342729734036</v>
      </c>
      <c r="BB40" s="103">
        <f t="shared" si="21"/>
        <v>154.23614285714285</v>
      </c>
      <c r="BC40" s="27">
        <f t="shared" si="22"/>
        <v>15.621027295388973</v>
      </c>
      <c r="BD40" s="79">
        <f>(('[1]setup'!$B$13*'[1]setup'!$B$14*'[1]setup'!$B$15)/10^(-S40))*10^6</f>
        <v>54.19931572989135</v>
      </c>
      <c r="BE40" s="73">
        <f t="shared" si="23"/>
        <v>20.10312278937019</v>
      </c>
      <c r="BF40" s="74">
        <f t="shared" si="24"/>
        <v>57.1072844401975</v>
      </c>
      <c r="BG40" s="72">
        <f t="shared" si="25"/>
        <v>211.56220345973531</v>
      </c>
      <c r="BH40" s="72">
        <f t="shared" si="26"/>
        <v>228.5385813764044</v>
      </c>
      <c r="BI40" s="75">
        <f t="shared" si="27"/>
        <v>3.857384149630593</v>
      </c>
      <c r="BJ40" s="58"/>
      <c r="BK40" s="92">
        <f>(3*('[1]setup'!$D$19*(10^-S40)^3)+2*('[1]setup'!$D$20*'[1]setup'!$D$19*((10^-S40)^2))+('[1]setup'!$D$21*'[1]setup'!$D$19*10^-S40)+('[1]setup'!$D$19*'[1]setup'!$D$22*(AP40/(10^6*2))*(10^-S40)^3))*10^6</f>
        <v>0.00022595010101087806</v>
      </c>
      <c r="BL40" s="93">
        <f t="shared" si="28"/>
        <v>3.1269708228021216</v>
      </c>
      <c r="BM40" s="74">
        <f>(BL40/((('[1]setup'!$C$26)/10^-S40)+2*(('[1]setup'!$C$26*'[1]setup'!$C$27)/(10^-S40^2))+3*(('[1]setup'!$C$26*'[1]setup'!$C$27*'[1]setup'!$C$28)/(10^-S40^3))))/(10^-S40^3/(10^-S40^3+'[1]setup'!$C$26*10^-S40^2+'[1]setup'!$C$26*'[1]setup'!$C$27*10^-S40+'[1]setup'!$C$26*'[1]setup'!$C$27*'[1]setup'!$C$28))</f>
        <v>1.198656757677659</v>
      </c>
      <c r="BN40" s="74"/>
      <c r="BO40" s="123">
        <f t="shared" si="32"/>
        <v>211.34342729734036</v>
      </c>
      <c r="BP40" s="123">
        <f t="shared" si="29"/>
        <v>154.23614285714285</v>
      </c>
      <c r="BQ40" s="123">
        <f t="shared" si="0"/>
        <v>1.370258769328092</v>
      </c>
      <c r="BR40" s="123">
        <f t="shared" si="30"/>
        <v>56.39299872591178</v>
      </c>
      <c r="BS40" s="123">
        <f t="shared" si="31"/>
        <v>1.170213933679462</v>
      </c>
      <c r="BT40" s="74"/>
      <c r="BU40" s="27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84" ht="12.75">
      <c r="A41" s="96">
        <v>38840</v>
      </c>
      <c r="B41" s="72">
        <v>16.1</v>
      </c>
      <c r="C41" s="8" t="s">
        <v>85</v>
      </c>
      <c r="D41" s="8">
        <v>857898</v>
      </c>
      <c r="E41" s="102"/>
      <c r="F41" s="9">
        <f>F6</f>
        <v>0.006</v>
      </c>
      <c r="G41" s="9">
        <f>G6</f>
        <v>0.002</v>
      </c>
      <c r="H41" s="9">
        <v>0.0725</v>
      </c>
      <c r="I41" s="9">
        <v>2.725</v>
      </c>
      <c r="J41" s="11">
        <v>0.3</v>
      </c>
      <c r="K41" s="4">
        <v>0.025021</v>
      </c>
      <c r="L41" s="9">
        <v>0.005</v>
      </c>
      <c r="M41" s="9">
        <v>0.2058</v>
      </c>
      <c r="N41" s="9">
        <v>1.09</v>
      </c>
      <c r="O41" s="9">
        <v>0.3693</v>
      </c>
      <c r="P41" s="9">
        <v>3.21</v>
      </c>
      <c r="Q41" s="4">
        <v>0.628</v>
      </c>
      <c r="R41" s="4">
        <v>4.06</v>
      </c>
      <c r="S41" s="75">
        <v>6.68</v>
      </c>
      <c r="T41" s="9">
        <v>16.3</v>
      </c>
      <c r="U41" s="9">
        <v>26.035</v>
      </c>
      <c r="V41" s="9">
        <f>V6</f>
        <v>0.05</v>
      </c>
      <c r="W41" s="9">
        <v>0.6278</v>
      </c>
      <c r="X41" s="9">
        <f>X6</f>
        <v>0.002</v>
      </c>
      <c r="Y41" s="4">
        <f>Y6</f>
        <v>0.002</v>
      </c>
      <c r="Z41" s="9">
        <v>2.251</v>
      </c>
      <c r="AA41" s="168"/>
      <c r="AB41" s="168"/>
      <c r="AE41" s="78">
        <f t="shared" si="1"/>
        <v>0.2142857142857143</v>
      </c>
      <c r="AF41" s="78">
        <f t="shared" si="2"/>
        <v>0.07272727272727272</v>
      </c>
      <c r="AG41" s="78">
        <f t="shared" si="3"/>
        <v>8.055555555555555</v>
      </c>
      <c r="AH41" s="78">
        <f t="shared" si="4"/>
        <v>389.2857142857143</v>
      </c>
      <c r="AI41" s="78">
        <f t="shared" si="5"/>
        <v>21.428571428571427</v>
      </c>
      <c r="AJ41" s="78">
        <f t="shared" si="6"/>
        <v>1.7872142857142859</v>
      </c>
      <c r="AK41" s="78">
        <f t="shared" si="7"/>
        <v>0.4838709677419355</v>
      </c>
      <c r="AL41" s="78">
        <f t="shared" si="8"/>
        <v>5.276923076923078</v>
      </c>
      <c r="AM41" s="78">
        <f t="shared" si="9"/>
        <v>54.50000000000001</v>
      </c>
      <c r="AN41" s="78">
        <f t="shared" si="10"/>
        <v>30.775</v>
      </c>
      <c r="AO41" s="78">
        <f t="shared" si="11"/>
        <v>139.56521739130434</v>
      </c>
      <c r="AP41" s="78">
        <f t="shared" si="12"/>
        <v>39.25</v>
      </c>
      <c r="AQ41" s="78">
        <f t="shared" si="13"/>
        <v>115.99999999999999</v>
      </c>
      <c r="AR41" s="68">
        <f t="shared" si="14"/>
        <v>0.20892961308540403</v>
      </c>
      <c r="AS41" s="78">
        <f t="shared" si="15"/>
        <v>4.838709677419355</v>
      </c>
      <c r="AT41" s="78">
        <f t="shared" si="16"/>
        <v>39.237500000000004</v>
      </c>
      <c r="AU41" s="78">
        <f t="shared" si="17"/>
        <v>0.06349206349206349</v>
      </c>
      <c r="AV41" s="78">
        <f t="shared" si="18"/>
        <v>0.061538461538461535</v>
      </c>
      <c r="AW41" s="68"/>
      <c r="AX41" s="68"/>
      <c r="AY41" s="68"/>
      <c r="AZ41" s="68">
        <f t="shared" si="19"/>
        <v>23.215785714285712</v>
      </c>
      <c r="BA41" s="103">
        <f>AL41+AM41+AN41+AO41+AI41</f>
        <v>251.54571189679885</v>
      </c>
      <c r="BB41" s="103">
        <f>AJ41+AP41+AQ41</f>
        <v>157.03721428571427</v>
      </c>
      <c r="BC41" s="27">
        <f>ABS(BA41-BB41)/(BA41+BB41)*100</f>
        <v>23.13079954027933</v>
      </c>
      <c r="BD41" s="79">
        <f>(('[1]setup'!$B$13*'[1]setup'!$B$14*'[1]setup'!$B$15)/10^(-S41))*10^6</f>
        <v>56.75365078559331</v>
      </c>
      <c r="BE41" s="73">
        <f t="shared" si="23"/>
        <v>21.73571588647018</v>
      </c>
      <c r="BF41" s="74">
        <f>(AM41+AN41+AO41+AL41+AI41)-(AP41+AQ41+AJ41)</f>
        <v>94.50849761108455</v>
      </c>
      <c r="BG41" s="72">
        <f>(AM41+AN41+AO41+AL41+AI41)+((10^-S41)*10^6)</f>
        <v>251.75464150988427</v>
      </c>
      <c r="BH41" s="72">
        <f>(AP41+AQ41+AJ41+BE41+BD41)</f>
        <v>235.5265809577778</v>
      </c>
      <c r="BI41" s="75">
        <f>ABS(BG41-BH41)/(BG41+BH41)*100</f>
        <v>3.3303274995751377</v>
      </c>
      <c r="BJ41" s="58"/>
      <c r="BK41" s="92">
        <f>(3*('[1]setup'!$D$19*(10^-S41)^3)+2*('[1]setup'!$D$20*'[1]setup'!$D$19*((10^-S41)^2))+('[1]setup'!$D$21*'[1]setup'!$D$19*10^-S41)+('[1]setup'!$D$19*'[1]setup'!$D$22*(AP41/(10^6*2))*(10^-S41)^3))*10^6</f>
        <v>0.00021418802553024543</v>
      </c>
      <c r="BL41" s="93">
        <f>(AM41+AN41+AO41+AL41+AI41+(10^-S41)*10^6+BK41)-(AP41+AQ41+AJ41+BD41)</f>
        <v>37.96399062660217</v>
      </c>
      <c r="BM41" s="74">
        <f>(BL41/((('[1]setup'!$C$26)/10^-S41)+2*(('[1]setup'!$C$26*'[1]setup'!$C$27)/(10^-S41^2))+3*(('[1]setup'!$C$26*'[1]setup'!$C$27*'[1]setup'!$C$28)/(10^-S41^3))))/(10^-S41^3/(10^-S41^3+'[1]setup'!$C$26*10^-S41^2+'[1]setup'!$C$26*'[1]setup'!$C$27*10^-S41+'[1]setup'!$C$26*'[1]setup'!$C$27*'[1]setup'!$C$28))</f>
        <v>14.490723211828373</v>
      </c>
      <c r="BN41" s="74"/>
      <c r="BO41" s="123">
        <f t="shared" si="32"/>
        <v>251.54571189679885</v>
      </c>
      <c r="BP41" s="123">
        <f t="shared" si="29"/>
        <v>157.03721428571427</v>
      </c>
      <c r="BQ41" s="123">
        <f t="shared" si="0"/>
        <v>1.6018223007900239</v>
      </c>
      <c r="BR41" s="123">
        <f t="shared" si="30"/>
        <v>73.07992618251316</v>
      </c>
      <c r="BS41" s="123">
        <f t="shared" si="31"/>
        <v>1.2031484257871066</v>
      </c>
      <c r="BT41" s="74"/>
      <c r="BU41" s="27"/>
      <c r="BV41" s="110"/>
      <c r="BW41" s="110"/>
      <c r="BX41" s="110"/>
      <c r="BY41" s="34"/>
      <c r="BZ41" s="34"/>
      <c r="CA41" s="34"/>
      <c r="CB41" s="34"/>
      <c r="CC41" s="34"/>
      <c r="CD41" s="34"/>
      <c r="CE41" s="34"/>
      <c r="CF41" s="34"/>
    </row>
    <row r="42" spans="1:84" ht="12.75">
      <c r="A42" s="96">
        <v>38852</v>
      </c>
      <c r="B42" s="72">
        <v>18.2</v>
      </c>
      <c r="C42" s="8" t="s">
        <v>85</v>
      </c>
      <c r="D42" s="8">
        <v>859368</v>
      </c>
      <c r="E42" s="102"/>
      <c r="F42" s="9">
        <f>F6</f>
        <v>0.006</v>
      </c>
      <c r="G42" s="9">
        <f>G6</f>
        <v>0.002</v>
      </c>
      <c r="H42" s="9">
        <v>0.02009</v>
      </c>
      <c r="I42" s="9">
        <v>3.141</v>
      </c>
      <c r="J42" s="9">
        <v>0.05</v>
      </c>
      <c r="K42" s="4">
        <v>0.0250371</v>
      </c>
      <c r="L42" s="9">
        <v>0.008</v>
      </c>
      <c r="M42" s="9">
        <v>0.1241</v>
      </c>
      <c r="N42" s="9">
        <v>1.189</v>
      </c>
      <c r="O42" s="9">
        <v>0.411</v>
      </c>
      <c r="P42" s="9">
        <v>3.107</v>
      </c>
      <c r="Q42" s="4">
        <v>0.6862</v>
      </c>
      <c r="R42" s="4">
        <v>4.088</v>
      </c>
      <c r="S42" s="4">
        <v>6.83</v>
      </c>
      <c r="T42" s="4">
        <v>17.3</v>
      </c>
      <c r="U42" s="4">
        <v>28.855</v>
      </c>
      <c r="V42" s="9">
        <f>V6</f>
        <v>0.05</v>
      </c>
      <c r="W42" s="9">
        <v>0.7431</v>
      </c>
      <c r="X42" s="9">
        <f>X6</f>
        <v>0.002</v>
      </c>
      <c r="Y42" s="9">
        <f>Y6</f>
        <v>0.002</v>
      </c>
      <c r="Z42" s="9">
        <v>0.9697</v>
      </c>
      <c r="AA42" s="168"/>
      <c r="AB42" s="168"/>
      <c r="AE42" s="78">
        <f t="shared" si="1"/>
        <v>0.2142857142857143</v>
      </c>
      <c r="AF42" s="78">
        <f t="shared" si="2"/>
        <v>0.07272727272727272</v>
      </c>
      <c r="AG42" s="78">
        <f t="shared" si="3"/>
        <v>2.232222222222222</v>
      </c>
      <c r="AH42" s="78">
        <f t="shared" si="4"/>
        <v>448.7142857142857</v>
      </c>
      <c r="AI42" s="78">
        <f t="shared" si="5"/>
        <v>3.5714285714285716</v>
      </c>
      <c r="AJ42" s="78">
        <f t="shared" si="6"/>
        <v>1.7883642857142859</v>
      </c>
      <c r="AK42" s="78">
        <f t="shared" si="7"/>
        <v>0.7741935483870969</v>
      </c>
      <c r="AL42" s="78">
        <f t="shared" si="8"/>
        <v>3.182051282051282</v>
      </c>
      <c r="AM42" s="78">
        <f t="shared" si="9"/>
        <v>59.45</v>
      </c>
      <c r="AN42" s="78">
        <f t="shared" si="10"/>
        <v>34.24999999999999</v>
      </c>
      <c r="AO42" s="78">
        <f t="shared" si="11"/>
        <v>135.08695652173913</v>
      </c>
      <c r="AP42" s="78">
        <f t="shared" si="12"/>
        <v>42.8875</v>
      </c>
      <c r="AQ42" s="78">
        <f t="shared" si="13"/>
        <v>116.8</v>
      </c>
      <c r="AR42" s="68">
        <f t="shared" si="14"/>
        <v>0.1479108388168207</v>
      </c>
      <c r="AS42" s="78">
        <f t="shared" si="15"/>
        <v>4.838709677419355</v>
      </c>
      <c r="AT42" s="78">
        <f t="shared" si="16"/>
        <v>46.44375</v>
      </c>
      <c r="AU42" s="78">
        <f t="shared" si="17"/>
        <v>0.06349206349206349</v>
      </c>
      <c r="AV42" s="78">
        <f t="shared" si="18"/>
        <v>0.061538461538461535</v>
      </c>
      <c r="AW42" s="68"/>
      <c r="AX42" s="68"/>
      <c r="AY42" s="68"/>
      <c r="AZ42" s="68">
        <f t="shared" si="19"/>
        <v>5.359792857142858</v>
      </c>
      <c r="BA42" s="103">
        <f t="shared" si="20"/>
        <v>235.540436375219</v>
      </c>
      <c r="BB42" s="103">
        <f t="shared" si="21"/>
        <v>161.4758642857143</v>
      </c>
      <c r="BC42" s="27">
        <f t="shared" si="22"/>
        <v>18.655297519574294</v>
      </c>
      <c r="BD42" s="79">
        <f>(('[1]setup'!$B$13*'[1]setup'!$B$14*'[1]setup'!$B$15)/10^(-S42))*10^6</f>
        <v>80.16666252905938</v>
      </c>
      <c r="BE42" s="73">
        <f t="shared" si="23"/>
        <v>9.42657500675264</v>
      </c>
      <c r="BF42" s="74">
        <f t="shared" si="24"/>
        <v>74.06457208950468</v>
      </c>
      <c r="BG42" s="72">
        <f t="shared" si="25"/>
        <v>235.6883472140358</v>
      </c>
      <c r="BH42" s="72">
        <f t="shared" si="26"/>
        <v>251.06910182152632</v>
      </c>
      <c r="BI42" s="75">
        <f t="shared" si="27"/>
        <v>3.1598395952573957</v>
      </c>
      <c r="BJ42" s="58"/>
      <c r="BK42" s="92">
        <f>(3*('[1]setup'!$D$19*(10^-S42)^3)+2*('[1]setup'!$D$20*'[1]setup'!$D$19*((10^-S42)^2))+('[1]setup'!$D$21*'[1]setup'!$D$19*10^-S42)+('[1]setup'!$D$19*'[1]setup'!$D$22*(AP42/(10^6*2))*(10^-S42)^3))*10^6</f>
        <v>0.0001448398353383167</v>
      </c>
      <c r="BL42" s="93">
        <f t="shared" si="28"/>
        <v>-5.954034760902545</v>
      </c>
      <c r="BM42" s="74">
        <f>(BL42/((('[1]setup'!$C$26)/10^-S42)+2*(('[1]setup'!$C$26*'[1]setup'!$C$27)/(10^-S42^2))+3*(('[1]setup'!$C$26*'[1]setup'!$C$27*'[1]setup'!$C$28)/(10^-S42^3))))/(10^-S42^3/(10^-S42^3+'[1]setup'!$C$26*10^-S42^2+'[1]setup'!$C$26*'[1]setup'!$C$27*10^-S42+'[1]setup'!$C$26*'[1]setup'!$C$27*'[1]setup'!$C$28))</f>
        <v>-2.2063864088087475</v>
      </c>
      <c r="BN42" s="74"/>
      <c r="BO42" s="123">
        <f t="shared" si="32"/>
        <v>235.54043637521897</v>
      </c>
      <c r="BP42" s="123">
        <f t="shared" si="29"/>
        <v>161.4758642857143</v>
      </c>
      <c r="BQ42" s="123">
        <f t="shared" si="0"/>
        <v>1.4586727088727969</v>
      </c>
      <c r="BR42" s="123">
        <f t="shared" si="30"/>
        <v>70.49314351807612</v>
      </c>
      <c r="BS42" s="123">
        <f t="shared" si="31"/>
        <v>1.1565664085765337</v>
      </c>
      <c r="BT42" s="74"/>
      <c r="BU42" s="27"/>
      <c r="BV42" s="110"/>
      <c r="BW42" s="110"/>
      <c r="BX42" s="110"/>
      <c r="BY42" s="34"/>
      <c r="BZ42" s="34"/>
      <c r="CA42" s="34"/>
      <c r="CB42" s="34"/>
      <c r="CC42" s="34"/>
      <c r="CD42" s="34"/>
      <c r="CE42" s="34"/>
      <c r="CF42" s="34"/>
    </row>
    <row r="43" spans="1:84" ht="12.75">
      <c r="A43" s="96">
        <v>38866</v>
      </c>
      <c r="B43" s="72">
        <v>12.45</v>
      </c>
      <c r="C43" s="8" t="s">
        <v>85</v>
      </c>
      <c r="D43" s="80">
        <v>859974</v>
      </c>
      <c r="E43" s="102"/>
      <c r="F43" s="33">
        <v>0.018</v>
      </c>
      <c r="G43" s="9">
        <f>G6</f>
        <v>0.002</v>
      </c>
      <c r="H43" s="9">
        <v>0.1298</v>
      </c>
      <c r="I43" s="9">
        <v>2.726</v>
      </c>
      <c r="J43" s="9">
        <v>0.01</v>
      </c>
      <c r="K43" s="9">
        <f>K6</f>
        <v>0.025</v>
      </c>
      <c r="L43" s="9">
        <v>0.005</v>
      </c>
      <c r="M43" s="9">
        <v>0.10001</v>
      </c>
      <c r="N43" s="9">
        <v>1.006</v>
      </c>
      <c r="O43" s="9">
        <v>0.4259</v>
      </c>
      <c r="P43" s="9">
        <v>3.024</v>
      </c>
      <c r="Q43" s="9">
        <v>0.54397</v>
      </c>
      <c r="R43" s="9">
        <v>4.53294</v>
      </c>
      <c r="S43" s="4">
        <v>6.57</v>
      </c>
      <c r="T43" s="4">
        <v>18.6</v>
      </c>
      <c r="U43" s="4">
        <v>26.725</v>
      </c>
      <c r="V43" s="9">
        <f>V6</f>
        <v>0.05</v>
      </c>
      <c r="W43" s="9">
        <v>0.5015</v>
      </c>
      <c r="X43" s="9">
        <f>X6</f>
        <v>0.002</v>
      </c>
      <c r="Y43" s="9">
        <f>Y6</f>
        <v>0.002</v>
      </c>
      <c r="Z43" s="9">
        <v>3.887</v>
      </c>
      <c r="AA43" s="168"/>
      <c r="AB43" s="168"/>
      <c r="AE43" s="78">
        <f t="shared" si="1"/>
        <v>0.6428571428571428</v>
      </c>
      <c r="AF43" s="78">
        <f t="shared" si="2"/>
        <v>0.07272727272727272</v>
      </c>
      <c r="AG43" s="78">
        <f t="shared" si="3"/>
        <v>14.422222222222222</v>
      </c>
      <c r="AH43" s="78">
        <f t="shared" si="4"/>
        <v>389.4285714285714</v>
      </c>
      <c r="AI43" s="78">
        <f t="shared" si="5"/>
        <v>0.7142857142857143</v>
      </c>
      <c r="AJ43" s="78">
        <f t="shared" si="6"/>
        <v>1.7857142857142858</v>
      </c>
      <c r="AK43" s="78">
        <f t="shared" si="7"/>
        <v>0.4838709677419355</v>
      </c>
      <c r="AL43" s="78">
        <f t="shared" si="8"/>
        <v>2.5643589743589743</v>
      </c>
      <c r="AM43" s="78">
        <f t="shared" si="9"/>
        <v>50.3</v>
      </c>
      <c r="AN43" s="78">
        <f t="shared" si="10"/>
        <v>35.49166666666667</v>
      </c>
      <c r="AO43" s="78">
        <f t="shared" si="11"/>
        <v>131.47826086956522</v>
      </c>
      <c r="AP43" s="78">
        <f t="shared" si="12"/>
        <v>33.998124999999995</v>
      </c>
      <c r="AQ43" s="78">
        <f t="shared" si="13"/>
        <v>129.51257142857142</v>
      </c>
      <c r="AR43" s="68">
        <f t="shared" si="14"/>
        <v>0.2691534803926914</v>
      </c>
      <c r="AS43" s="78">
        <f t="shared" si="15"/>
        <v>4.838709677419355</v>
      </c>
      <c r="AT43" s="78">
        <f t="shared" si="16"/>
        <v>31.343749999999996</v>
      </c>
      <c r="AU43" s="78">
        <f t="shared" si="17"/>
        <v>0.06349206349206349</v>
      </c>
      <c r="AV43" s="78">
        <f t="shared" si="18"/>
        <v>0.061538461538461535</v>
      </c>
      <c r="AW43" s="68"/>
      <c r="AX43" s="68"/>
      <c r="AY43" s="68"/>
      <c r="AZ43" s="68">
        <f t="shared" si="19"/>
        <v>2.5</v>
      </c>
      <c r="BA43" s="103">
        <f t="shared" si="20"/>
        <v>220.54857222487658</v>
      </c>
      <c r="BB43" s="103">
        <f t="shared" si="21"/>
        <v>165.29641071428568</v>
      </c>
      <c r="BC43" s="27">
        <f t="shared" si="22"/>
        <v>14.319782283991167</v>
      </c>
      <c r="BD43" s="79">
        <f>(('[1]setup'!$B$13*'[1]setup'!$B$14*'[1]setup'!$B$15)/10^(-S43))*10^6</f>
        <v>44.0548577804686</v>
      </c>
      <c r="BE43" s="73">
        <f t="shared" si="23"/>
        <v>37.31595544554431</v>
      </c>
      <c r="BF43" s="74">
        <f t="shared" si="24"/>
        <v>55.252161510590895</v>
      </c>
      <c r="BG43" s="72">
        <f t="shared" si="25"/>
        <v>220.81772570526928</v>
      </c>
      <c r="BH43" s="72">
        <f t="shared" si="26"/>
        <v>246.6672239402986</v>
      </c>
      <c r="BI43" s="75">
        <f t="shared" si="27"/>
        <v>5.529482447430145</v>
      </c>
      <c r="BJ43" s="58"/>
      <c r="BK43" s="92">
        <f>(3*('[1]setup'!$D$19*(10^-S43)^3)+2*('[1]setup'!$D$20*'[1]setup'!$D$19*((10^-S43)^2))+('[1]setup'!$D$21*'[1]setup'!$D$19*10^-S43)+('[1]setup'!$D$19*'[1]setup'!$D$22*(AP43/(10^6*2))*(10^-S43)^3))*10^6</f>
        <v>0.00028871844627342873</v>
      </c>
      <c r="BL43" s="93">
        <f t="shared" si="28"/>
        <v>11.466745928961274</v>
      </c>
      <c r="BM43" s="74">
        <f>(BL43/((('[1]setup'!$C$26)/10^-S43)+2*(('[1]setup'!$C$26*'[1]setup'!$C$27)/(10^-S43^2))+3*(('[1]setup'!$C$26*'[1]setup'!$C$27*'[1]setup'!$C$28)/(10^-S43^3))))/(10^-S43^3/(10^-S43^3+'[1]setup'!$C$26*10^-S43^2+'[1]setup'!$C$26*'[1]setup'!$C$27*10^-S43+'[1]setup'!$C$26*'[1]setup'!$C$27*'[1]setup'!$C$28))</f>
        <v>4.48435582284591</v>
      </c>
      <c r="BN43" s="74"/>
      <c r="BO43" s="123">
        <f t="shared" si="32"/>
        <v>220.54857222487658</v>
      </c>
      <c r="BP43" s="123">
        <f t="shared" si="29"/>
        <v>165.29641071428568</v>
      </c>
      <c r="BQ43" s="123">
        <f t="shared" si="0"/>
        <v>1.334261108706674</v>
      </c>
      <c r="BR43" s="123">
        <f t="shared" si="30"/>
        <v>54.53787579630517</v>
      </c>
      <c r="BS43" s="123">
        <f t="shared" si="31"/>
        <v>1.0151775956520013</v>
      </c>
      <c r="BT43" s="74"/>
      <c r="BU43" s="27"/>
      <c r="BV43" s="110"/>
      <c r="BW43" s="110"/>
      <c r="BX43" s="110"/>
      <c r="BY43" s="34"/>
      <c r="BZ43" s="34"/>
      <c r="CA43" s="34"/>
      <c r="CB43" s="34"/>
      <c r="CC43" s="34"/>
      <c r="CD43" s="34"/>
      <c r="CE43" s="34"/>
      <c r="CF43" s="34"/>
    </row>
    <row r="44" spans="1:84" ht="12.75">
      <c r="A44" s="96">
        <v>38910</v>
      </c>
      <c r="B44" s="72">
        <v>13.2</v>
      </c>
      <c r="C44" s="8" t="s">
        <v>85</v>
      </c>
      <c r="D44" s="80">
        <v>861942</v>
      </c>
      <c r="E44" s="102"/>
      <c r="F44" s="75">
        <f>F6</f>
        <v>0.006</v>
      </c>
      <c r="G44" s="4">
        <f>G6</f>
        <v>0.002</v>
      </c>
      <c r="H44" s="75">
        <v>0.02</v>
      </c>
      <c r="I44" s="4">
        <v>2.99</v>
      </c>
      <c r="J44" s="4">
        <v>0.015</v>
      </c>
      <c r="K44" s="4">
        <v>0.02503</v>
      </c>
      <c r="L44" s="75">
        <v>0.012</v>
      </c>
      <c r="M44" s="4">
        <f>M6</f>
        <v>0.1</v>
      </c>
      <c r="N44" s="75">
        <v>1.06</v>
      </c>
      <c r="O44" s="4">
        <v>0.35</v>
      </c>
      <c r="P44" s="4">
        <v>3.35</v>
      </c>
      <c r="Q44" s="4">
        <v>0.637</v>
      </c>
      <c r="R44" s="4">
        <v>4.172</v>
      </c>
      <c r="S44" s="9">
        <v>6.91</v>
      </c>
      <c r="T44" s="9">
        <v>23.4</v>
      </c>
      <c r="U44" s="9">
        <v>29.346</v>
      </c>
      <c r="V44" s="4">
        <f>V6</f>
        <v>0.05</v>
      </c>
      <c r="W44" s="4">
        <v>0.64</v>
      </c>
      <c r="X44" s="75">
        <f>X6</f>
        <v>0.002</v>
      </c>
      <c r="Y44" s="4">
        <f>Y6</f>
        <v>0.002</v>
      </c>
      <c r="Z44" s="75">
        <v>1</v>
      </c>
      <c r="AA44" s="168"/>
      <c r="AB44" s="168"/>
      <c r="AE44" s="78">
        <f t="shared" si="1"/>
        <v>0.2142857142857143</v>
      </c>
      <c r="AF44" s="78">
        <f t="shared" si="2"/>
        <v>0.07272727272727272</v>
      </c>
      <c r="AG44" s="78">
        <f t="shared" si="3"/>
        <v>2.2222222222222223</v>
      </c>
      <c r="AH44" s="78">
        <f t="shared" si="4"/>
        <v>427.14285714285717</v>
      </c>
      <c r="AI44" s="78">
        <f t="shared" si="5"/>
        <v>1.0714285714285714</v>
      </c>
      <c r="AJ44" s="78">
        <f t="shared" si="6"/>
        <v>1.7878571428571428</v>
      </c>
      <c r="AK44" s="78">
        <f t="shared" si="7"/>
        <v>1.161290322580645</v>
      </c>
      <c r="AL44" s="78">
        <f t="shared" si="8"/>
        <v>2.5641025641025643</v>
      </c>
      <c r="AM44" s="78">
        <f t="shared" si="9"/>
        <v>53.00000000000001</v>
      </c>
      <c r="AN44" s="78">
        <f t="shared" si="10"/>
        <v>29.166666666666664</v>
      </c>
      <c r="AO44" s="78">
        <f t="shared" si="11"/>
        <v>145.65217391304347</v>
      </c>
      <c r="AP44" s="78">
        <f t="shared" si="12"/>
        <v>39.8125</v>
      </c>
      <c r="AQ44" s="78">
        <f t="shared" si="13"/>
        <v>119.19999999999999</v>
      </c>
      <c r="AR44" s="68">
        <f t="shared" si="14"/>
        <v>0.12302687708123806</v>
      </c>
      <c r="AS44" s="78">
        <f t="shared" si="15"/>
        <v>4.838709677419355</v>
      </c>
      <c r="AT44" s="78">
        <f t="shared" si="16"/>
        <v>40</v>
      </c>
      <c r="AU44" s="78">
        <f t="shared" si="17"/>
        <v>0.06349206349206349</v>
      </c>
      <c r="AV44" s="78">
        <f t="shared" si="18"/>
        <v>0.061538461538461535</v>
      </c>
      <c r="AW44" s="68"/>
      <c r="AX44" s="68"/>
      <c r="AY44" s="68"/>
      <c r="AZ44" s="68">
        <f t="shared" si="19"/>
        <v>2.859285714285714</v>
      </c>
      <c r="BA44" s="103">
        <f t="shared" si="20"/>
        <v>231.45437171524128</v>
      </c>
      <c r="BB44" s="103">
        <f t="shared" si="21"/>
        <v>160.80035714285714</v>
      </c>
      <c r="BC44" s="27">
        <f t="shared" si="22"/>
        <v>18.01227859714187</v>
      </c>
      <c r="BD44" s="79">
        <f>(('[1]setup'!$B$13*'[1]setup'!$B$14*'[1]setup'!$B$15)/10^(-S44))*10^6</f>
        <v>96.38152720066445</v>
      </c>
      <c r="BE44" s="73">
        <f t="shared" si="23"/>
        <v>9.75118224164641</v>
      </c>
      <c r="BF44" s="74">
        <f t="shared" si="24"/>
        <v>70.65401457238414</v>
      </c>
      <c r="BG44" s="72">
        <f t="shared" si="25"/>
        <v>231.5773985923225</v>
      </c>
      <c r="BH44" s="72">
        <f t="shared" si="26"/>
        <v>266.933066585168</v>
      </c>
      <c r="BI44" s="75">
        <f t="shared" si="27"/>
        <v>7.092261940831548</v>
      </c>
      <c r="BJ44" s="58"/>
      <c r="BK44" s="92">
        <f>(3*('[1]setup'!$D$19*(10^-S44)^3)+2*('[1]setup'!$D$20*'[1]setup'!$D$19*((10^-S44)^2))+('[1]setup'!$D$21*'[1]setup'!$D$19*10^-S44)+('[1]setup'!$D$19*'[1]setup'!$D$22*(AP44/(10^6*2))*(10^-S44)^3))*10^6</f>
        <v>0.00011824690666614482</v>
      </c>
      <c r="BL44" s="93">
        <f t="shared" si="28"/>
        <v>-25.604367504292412</v>
      </c>
      <c r="BM44" s="74">
        <f>(BL44/((('[1]setup'!$C$26)/10^-S44)+2*(('[1]setup'!$C$26*'[1]setup'!$C$27)/(10^-S44^2))+3*(('[1]setup'!$C$26*'[1]setup'!$C$27*'[1]setup'!$C$28)/(10^-S44^3))))/(10^-S44^3/(10^-S44^3+'[1]setup'!$C$26*10^-S44^2+'[1]setup'!$C$26*'[1]setup'!$C$27*10^-S44+'[1]setup'!$C$26*'[1]setup'!$C$27*'[1]setup'!$C$28))</f>
        <v>-9.357301006503278</v>
      </c>
      <c r="BN44" s="74"/>
      <c r="BO44" s="123">
        <f t="shared" si="32"/>
        <v>231.45437171524128</v>
      </c>
      <c r="BP44" s="123">
        <f t="shared" si="29"/>
        <v>160.80035714285714</v>
      </c>
      <c r="BQ44" s="123">
        <f t="shared" si="0"/>
        <v>1.4393896619869706</v>
      </c>
      <c r="BR44" s="123">
        <f t="shared" si="30"/>
        <v>69.58258600095556</v>
      </c>
      <c r="BS44" s="123">
        <f t="shared" si="31"/>
        <v>1.221914210679895</v>
      </c>
      <c r="BT44" s="74"/>
      <c r="BU44" s="27"/>
      <c r="BV44" s="110"/>
      <c r="BW44" s="110"/>
      <c r="BX44" s="110"/>
      <c r="BY44" s="34"/>
      <c r="BZ44" s="34"/>
      <c r="CA44" s="34"/>
      <c r="CB44" s="34"/>
      <c r="CC44" s="34"/>
      <c r="CD44" s="34"/>
      <c r="CE44" s="34"/>
      <c r="CF44" s="34"/>
    </row>
    <row r="45" spans="1:84" ht="12.75">
      <c r="A45" s="28">
        <v>38966</v>
      </c>
      <c r="B45" s="16">
        <v>14</v>
      </c>
      <c r="C45" s="8" t="s">
        <v>85</v>
      </c>
      <c r="D45" s="8">
        <v>868215</v>
      </c>
      <c r="E45" s="102"/>
      <c r="F45" s="5">
        <v>0.054</v>
      </c>
      <c r="G45" s="30">
        <f>G6</f>
        <v>0.002</v>
      </c>
      <c r="H45" s="75">
        <v>0.291</v>
      </c>
      <c r="I45" s="9">
        <v>2.3</v>
      </c>
      <c r="J45" s="4">
        <v>0.01</v>
      </c>
      <c r="K45" s="9">
        <v>0.025</v>
      </c>
      <c r="L45" s="4">
        <v>0.005</v>
      </c>
      <c r="M45" s="30">
        <v>0.11</v>
      </c>
      <c r="N45" s="75">
        <v>1.25</v>
      </c>
      <c r="O45" s="30">
        <v>0.33</v>
      </c>
      <c r="P45" s="30">
        <v>2.68</v>
      </c>
      <c r="Q45" s="4">
        <v>0.546</v>
      </c>
      <c r="R45" s="9">
        <v>3.707</v>
      </c>
      <c r="S45" s="9">
        <v>6.36</v>
      </c>
      <c r="T45" s="9">
        <v>20</v>
      </c>
      <c r="U45" s="9">
        <v>26.274</v>
      </c>
      <c r="V45" s="75">
        <v>0.08</v>
      </c>
      <c r="W45" s="9">
        <v>0.64</v>
      </c>
      <c r="X45" s="11">
        <f>X6</f>
        <v>0.002</v>
      </c>
      <c r="Y45" s="11">
        <v>0.012</v>
      </c>
      <c r="Z45" s="4">
        <v>10.1</v>
      </c>
      <c r="AA45" s="168"/>
      <c r="AB45" s="168"/>
      <c r="AE45" s="78">
        <f t="shared" si="1"/>
        <v>1.9285714285714286</v>
      </c>
      <c r="AF45" s="78">
        <f t="shared" si="2"/>
        <v>0.07272727272727272</v>
      </c>
      <c r="AG45" s="78">
        <f t="shared" si="3"/>
        <v>32.33333333333333</v>
      </c>
      <c r="AH45" s="78">
        <f t="shared" si="4"/>
        <v>328.57142857142856</v>
      </c>
      <c r="AI45" s="78">
        <f t="shared" si="5"/>
        <v>0.7142857142857143</v>
      </c>
      <c r="AJ45" s="78">
        <f t="shared" si="6"/>
        <v>1.7857142857142858</v>
      </c>
      <c r="AK45" s="78">
        <f t="shared" si="7"/>
        <v>0.4838709677419355</v>
      </c>
      <c r="AL45" s="78">
        <f t="shared" si="8"/>
        <v>2.8205128205128207</v>
      </c>
      <c r="AM45" s="78">
        <f t="shared" si="9"/>
        <v>62.5</v>
      </c>
      <c r="AN45" s="78">
        <f t="shared" si="10"/>
        <v>27.5</v>
      </c>
      <c r="AO45" s="78">
        <f t="shared" si="11"/>
        <v>116.52173913043478</v>
      </c>
      <c r="AP45" s="78">
        <f t="shared" si="12"/>
        <v>34.125</v>
      </c>
      <c r="AQ45" s="78">
        <f t="shared" si="13"/>
        <v>105.91428571428571</v>
      </c>
      <c r="AR45" s="68">
        <f t="shared" si="14"/>
        <v>0.4365158322401656</v>
      </c>
      <c r="AS45" s="78">
        <v>7.7419</v>
      </c>
      <c r="AT45" s="78">
        <f t="shared" si="16"/>
        <v>40</v>
      </c>
      <c r="AU45" s="78">
        <f t="shared" si="17"/>
        <v>0.06349206349206349</v>
      </c>
      <c r="AV45" s="78">
        <f t="shared" si="18"/>
        <v>0.36923076923076925</v>
      </c>
      <c r="AW45" s="68"/>
      <c r="AX45" s="68"/>
      <c r="AY45" s="68"/>
      <c r="AZ45" s="68">
        <f t="shared" si="19"/>
        <v>2.5</v>
      </c>
      <c r="BA45" s="103">
        <f t="shared" si="20"/>
        <v>210.05653766523332</v>
      </c>
      <c r="BB45" s="103">
        <f t="shared" si="21"/>
        <v>141.825</v>
      </c>
      <c r="BC45" s="27">
        <f t="shared" si="22"/>
        <v>19.39048525192766</v>
      </c>
      <c r="BD45" s="79">
        <f>(('[1]setup'!$B$13*'[1]setup'!$B$14*'[1]setup'!$B$15)/10^(-S45))*10^6</f>
        <v>27.164005115155334</v>
      </c>
      <c r="BE45" s="73">
        <f t="shared" si="23"/>
        <v>95.6640196071571</v>
      </c>
      <c r="BF45" s="74">
        <f t="shared" si="24"/>
        <v>68.23153766523333</v>
      </c>
      <c r="BG45" s="72">
        <f t="shared" si="25"/>
        <v>210.49305349747348</v>
      </c>
      <c r="BH45" s="72">
        <f t="shared" si="26"/>
        <v>264.65302472231247</v>
      </c>
      <c r="BI45" s="75">
        <f t="shared" si="27"/>
        <v>11.398593760419606</v>
      </c>
      <c r="BJ45" s="58"/>
      <c r="BK45" s="92">
        <f>(3*('[1]setup'!$D$19*(10^-S45)^3)+2*('[1]setup'!$D$20*'[1]setup'!$D$19*((10^-S45)^2))+('[1]setup'!$D$21*'[1]setup'!$D$19*10^-S45)+('[1]setup'!$D$19*'[1]setup'!$D$22*(AP45/(10^6*2))*(10^-S45)^3))*10^6</f>
        <v>0.0005309183675461986</v>
      </c>
      <c r="BL45" s="93">
        <f t="shared" si="28"/>
        <v>41.50457930068572</v>
      </c>
      <c r="BM45" s="74">
        <f>(BL45/((('[1]setup'!$C$26)/10^-S45)+2*(('[1]setup'!$C$26*'[1]setup'!$C$27)/(10^-S45^2))+3*(('[1]setup'!$C$26*'[1]setup'!$C$27*'[1]setup'!$C$28)/(10^-S45^3))))/(10^-S45^3/(10^-S45^3+'[1]setup'!$C$26*10^-S45^2+'[1]setup'!$C$26*'[1]setup'!$C$27*10^-S45+'[1]setup'!$C$26*'[1]setup'!$C$27*'[1]setup'!$C$28))</f>
        <v>17.070163248410285</v>
      </c>
      <c r="BN45" s="74"/>
      <c r="BO45" s="123">
        <f t="shared" si="32"/>
        <v>210.05653766523332</v>
      </c>
      <c r="BP45" s="123">
        <f t="shared" si="29"/>
        <v>141.825</v>
      </c>
      <c r="BQ45" s="123">
        <f t="shared" si="0"/>
        <v>1.481096687221811</v>
      </c>
      <c r="BR45" s="123">
        <f t="shared" si="30"/>
        <v>67.51725195094761</v>
      </c>
      <c r="BS45" s="123">
        <f t="shared" si="31"/>
        <v>1.100151300125497</v>
      </c>
      <c r="BT45" s="74"/>
      <c r="BU45" s="27"/>
      <c r="BV45" s="110"/>
      <c r="BW45" s="110"/>
      <c r="BX45" s="110"/>
      <c r="BY45" s="34"/>
      <c r="BZ45" s="34"/>
      <c r="CA45" s="34"/>
      <c r="CB45" s="34"/>
      <c r="CC45" s="34"/>
      <c r="CD45" s="34"/>
      <c r="CE45" s="34"/>
      <c r="CF45" s="34"/>
    </row>
    <row r="46" spans="1:84" ht="12.75">
      <c r="A46" s="28">
        <v>38980</v>
      </c>
      <c r="B46" s="16">
        <v>13</v>
      </c>
      <c r="C46" s="8" t="s">
        <v>85</v>
      </c>
      <c r="D46" s="80">
        <v>869335</v>
      </c>
      <c r="E46" s="102"/>
      <c r="F46" s="9">
        <v>0.017</v>
      </c>
      <c r="G46" s="9">
        <f>G6</f>
        <v>0.002</v>
      </c>
      <c r="H46" s="9">
        <v>0.138</v>
      </c>
      <c r="I46" s="9">
        <v>2.53</v>
      </c>
      <c r="J46" s="9">
        <v>0.013</v>
      </c>
      <c r="K46" s="9">
        <v>0.03</v>
      </c>
      <c r="L46" s="9">
        <v>0.005</v>
      </c>
      <c r="M46" s="9">
        <v>0.14</v>
      </c>
      <c r="N46" s="4">
        <v>0.91</v>
      </c>
      <c r="O46" s="9">
        <v>0.31</v>
      </c>
      <c r="P46" s="9">
        <v>3.1</v>
      </c>
      <c r="Q46" s="9">
        <v>0.606</v>
      </c>
      <c r="R46" s="9">
        <v>3.906</v>
      </c>
      <c r="S46" s="30">
        <v>6.58</v>
      </c>
      <c r="T46" s="30">
        <v>21.3</v>
      </c>
      <c r="U46" s="30">
        <v>26.188</v>
      </c>
      <c r="V46" s="9">
        <f>V6</f>
        <v>0.05</v>
      </c>
      <c r="W46" s="9">
        <v>0.56</v>
      </c>
      <c r="X46" s="4">
        <f>X6</f>
        <v>0.002</v>
      </c>
      <c r="Y46" s="9">
        <v>0.002</v>
      </c>
      <c r="Z46" s="9">
        <v>4.9</v>
      </c>
      <c r="AA46" s="9">
        <v>0.15</v>
      </c>
      <c r="AB46" s="75">
        <v>0.107</v>
      </c>
      <c r="AE46" s="78">
        <f t="shared" si="1"/>
        <v>0.6071428571428572</v>
      </c>
      <c r="AF46" s="78">
        <f t="shared" si="2"/>
        <v>0.07272727272727272</v>
      </c>
      <c r="AG46" s="78">
        <f t="shared" si="3"/>
        <v>15.333333333333334</v>
      </c>
      <c r="AH46" s="78">
        <f t="shared" si="4"/>
        <v>361.4285714285714</v>
      </c>
      <c r="AI46" s="78">
        <f t="shared" si="5"/>
        <v>0.9285714285714286</v>
      </c>
      <c r="AJ46" s="78">
        <f t="shared" si="6"/>
        <v>2.142857142857143</v>
      </c>
      <c r="AK46" s="78">
        <f t="shared" si="7"/>
        <v>0.4838709677419355</v>
      </c>
      <c r="AL46" s="78">
        <f t="shared" si="8"/>
        <v>3.5897435897435903</v>
      </c>
      <c r="AM46" s="78">
        <f t="shared" si="9"/>
        <v>45.5</v>
      </c>
      <c r="AN46" s="78">
        <f t="shared" si="10"/>
        <v>25.833333333333332</v>
      </c>
      <c r="AO46" s="78">
        <f t="shared" si="11"/>
        <v>134.7826086956522</v>
      </c>
      <c r="AP46" s="78">
        <f t="shared" si="12"/>
        <v>37.875</v>
      </c>
      <c r="AQ46" s="78">
        <f t="shared" si="13"/>
        <v>111.60000000000001</v>
      </c>
      <c r="AR46" s="68">
        <f t="shared" si="14"/>
        <v>0.26302679918953814</v>
      </c>
      <c r="AS46" s="78">
        <f t="shared" si="15"/>
        <v>4.838709677419355</v>
      </c>
      <c r="AT46" s="78">
        <f t="shared" si="16"/>
        <v>35</v>
      </c>
      <c r="AU46" s="78">
        <f t="shared" si="17"/>
        <v>0.06349206349206349</v>
      </c>
      <c r="AV46" s="78">
        <f t="shared" si="18"/>
        <v>0.061538461538461535</v>
      </c>
      <c r="AW46" s="97">
        <f aca="true" t="shared" si="33" ref="AW46:AX59">AA46/14*1*1000</f>
        <v>10.714285714285714</v>
      </c>
      <c r="AX46" s="68">
        <f t="shared" si="33"/>
        <v>7.642857142857143</v>
      </c>
      <c r="AY46" s="68"/>
      <c r="AZ46" s="68">
        <f t="shared" si="19"/>
        <v>3.071428571428571</v>
      </c>
      <c r="BA46" s="103">
        <f t="shared" si="20"/>
        <v>210.6342570473005</v>
      </c>
      <c r="BB46" s="103">
        <f t="shared" si="21"/>
        <v>151.61785714285716</v>
      </c>
      <c r="BC46" s="27">
        <f t="shared" si="22"/>
        <v>16.291526699955643</v>
      </c>
      <c r="BD46" s="79">
        <f>(('[1]setup'!$B$13*'[1]setup'!$B$14*'[1]setup'!$B$15)/10^(-S46))*10^6</f>
        <v>45.08102724267871</v>
      </c>
      <c r="BE46" s="73">
        <f t="shared" si="23"/>
        <v>47.067320350741895</v>
      </c>
      <c r="BF46" s="74">
        <f t="shared" si="24"/>
        <v>59.01639990444335</v>
      </c>
      <c r="BG46" s="72">
        <f t="shared" si="25"/>
        <v>210.89728384649004</v>
      </c>
      <c r="BH46" s="72">
        <f t="shared" si="26"/>
        <v>243.76620473627776</v>
      </c>
      <c r="BI46" s="75">
        <f t="shared" si="27"/>
        <v>7.229285331937138</v>
      </c>
      <c r="BJ46" s="58"/>
      <c r="BK46" s="92">
        <f>(3*('[1]setup'!$D$19*(10^-S46)^3)+2*('[1]setup'!$D$20*'[1]setup'!$D$19*((10^-S46)^2))+('[1]setup'!$D$21*'[1]setup'!$D$19*10^-S46)+('[1]setup'!$D$19*'[1]setup'!$D$22*(AP46/(10^6*2))*(10^-S46)^3))*10^6</f>
        <v>0.00028085119818181155</v>
      </c>
      <c r="BL46" s="93">
        <f t="shared" si="28"/>
        <v>14.198680312152334</v>
      </c>
      <c r="BM46" s="74">
        <f>(BL46/((('[1]setup'!$C$26)/10^-S46)+2*(('[1]setup'!$C$26*'[1]setup'!$C$27)/(10^-S46^2))+3*(('[1]setup'!$C$26*'[1]setup'!$C$27*'[1]setup'!$C$28)/(10^-S46^3))))/(10^-S46^3/(10^-S46^3+'[1]setup'!$C$26*10^-S46^2+'[1]setup'!$C$26*'[1]setup'!$C$27*10^-S46+'[1]setup'!$C$26*'[1]setup'!$C$27*'[1]setup'!$C$28))</f>
        <v>5.5400824198572804</v>
      </c>
      <c r="BN46" s="74"/>
      <c r="BO46" s="123">
        <f t="shared" si="32"/>
        <v>210.63425704730054</v>
      </c>
      <c r="BP46" s="123">
        <f t="shared" si="29"/>
        <v>151.61785714285716</v>
      </c>
      <c r="BQ46" s="123">
        <f t="shared" si="0"/>
        <v>1.3892443872810907</v>
      </c>
      <c r="BR46" s="123">
        <f t="shared" si="30"/>
        <v>58.08782847587193</v>
      </c>
      <c r="BS46" s="123">
        <f t="shared" si="31"/>
        <v>1.2077294685990339</v>
      </c>
      <c r="BT46" s="74"/>
      <c r="BU46" s="27"/>
      <c r="BV46" s="110"/>
      <c r="BW46" s="110"/>
      <c r="BX46" s="110"/>
      <c r="BY46" s="34"/>
      <c r="BZ46" s="34"/>
      <c r="CA46" s="34"/>
      <c r="CB46" s="34"/>
      <c r="CC46" s="34"/>
      <c r="CD46" s="34"/>
      <c r="CE46" s="34"/>
      <c r="CF46" s="34"/>
    </row>
    <row r="47" spans="1:72" ht="12.75">
      <c r="A47" s="28">
        <v>39021</v>
      </c>
      <c r="B47" s="16">
        <v>11.45</v>
      </c>
      <c r="C47" s="1" t="s">
        <v>85</v>
      </c>
      <c r="D47" s="80">
        <v>873155</v>
      </c>
      <c r="E47" s="2"/>
      <c r="F47" s="21">
        <v>0.0613</v>
      </c>
      <c r="G47" s="9">
        <v>0.002733</v>
      </c>
      <c r="H47" s="9">
        <v>0.3264</v>
      </c>
      <c r="I47" s="9">
        <v>2.16</v>
      </c>
      <c r="J47" s="9">
        <f>J6</f>
        <v>0.01</v>
      </c>
      <c r="K47" s="9">
        <v>0.041</v>
      </c>
      <c r="L47" s="9">
        <f>L6</f>
        <v>0.005</v>
      </c>
      <c r="M47" s="4">
        <v>0.2724</v>
      </c>
      <c r="N47" s="4">
        <v>0.624</v>
      </c>
      <c r="O47" s="9">
        <v>0.3474</v>
      </c>
      <c r="P47" s="9">
        <v>3.205</v>
      </c>
      <c r="Q47" s="9">
        <v>0.432</v>
      </c>
      <c r="R47" s="9">
        <v>3.049</v>
      </c>
      <c r="S47" s="9">
        <v>5.72</v>
      </c>
      <c r="T47" s="9">
        <v>18.7</v>
      </c>
      <c r="U47" s="9">
        <v>22.1</v>
      </c>
      <c r="V47" s="9">
        <f>V6</f>
        <v>0.05</v>
      </c>
      <c r="W47" s="9">
        <v>0.66</v>
      </c>
      <c r="X47" s="4">
        <f>X6</f>
        <v>0.002</v>
      </c>
      <c r="Y47" s="9">
        <f>Y6</f>
        <v>0.002</v>
      </c>
      <c r="Z47" s="9">
        <v>10.8</v>
      </c>
      <c r="AA47" s="9">
        <v>0.22</v>
      </c>
      <c r="AB47" s="75">
        <v>0.16899999999999998</v>
      </c>
      <c r="AE47" s="78">
        <f t="shared" si="1"/>
        <v>2.1892857142857145</v>
      </c>
      <c r="AF47" s="78">
        <f t="shared" si="2"/>
        <v>0.09938181818181818</v>
      </c>
      <c r="AG47" s="78">
        <f t="shared" si="3"/>
        <v>36.266666666666666</v>
      </c>
      <c r="AH47" s="78">
        <f t="shared" si="4"/>
        <v>308.5714285714286</v>
      </c>
      <c r="AI47" s="78">
        <f t="shared" si="5"/>
        <v>0.7142857142857143</v>
      </c>
      <c r="AJ47" s="78">
        <f t="shared" si="6"/>
        <v>2.928571428571429</v>
      </c>
      <c r="AK47" s="78">
        <f t="shared" si="7"/>
        <v>0.4838709677419355</v>
      </c>
      <c r="AL47" s="78">
        <f t="shared" si="8"/>
        <v>6.984615384615385</v>
      </c>
      <c r="AM47" s="78">
        <f t="shared" si="9"/>
        <v>31.2</v>
      </c>
      <c r="AN47" s="78">
        <f t="shared" si="10"/>
        <v>28.95</v>
      </c>
      <c r="AO47" s="78">
        <f t="shared" si="11"/>
        <v>139.34782608695653</v>
      </c>
      <c r="AP47" s="78">
        <f t="shared" si="12"/>
        <v>27</v>
      </c>
      <c r="AQ47" s="78">
        <f t="shared" si="13"/>
        <v>87.11428571428571</v>
      </c>
      <c r="AR47" s="68">
        <f t="shared" si="14"/>
        <v>1.9054607179632483</v>
      </c>
      <c r="AS47" s="78">
        <f t="shared" si="15"/>
        <v>4.838709677419355</v>
      </c>
      <c r="AT47" s="78">
        <f t="shared" si="16"/>
        <v>41.25</v>
      </c>
      <c r="AU47" s="78">
        <f t="shared" si="17"/>
        <v>0.06349206349206349</v>
      </c>
      <c r="AV47" s="78">
        <f t="shared" si="18"/>
        <v>0.061538461538461535</v>
      </c>
      <c r="AW47" s="97">
        <f t="shared" si="33"/>
        <v>15.714285714285715</v>
      </c>
      <c r="AX47" s="68">
        <f t="shared" si="33"/>
        <v>12.07142857142857</v>
      </c>
      <c r="AY47" s="68"/>
      <c r="AZ47" s="68">
        <f t="shared" si="19"/>
        <v>3.6428571428571432</v>
      </c>
      <c r="BA47" s="103">
        <f t="shared" si="20"/>
        <v>207.19672718585764</v>
      </c>
      <c r="BB47" s="103">
        <f t="shared" si="21"/>
        <v>117.04285714285714</v>
      </c>
      <c r="BC47" s="27">
        <f t="shared" si="22"/>
        <v>27.80470812336174</v>
      </c>
      <c r="BD47" s="79">
        <f>(('[1]setup'!$B$13*'[1]setup'!$B$14*'[1]setup'!$B$15)/10^(-S47))*10^6</f>
        <v>6.222914063792762</v>
      </c>
      <c r="BE47" s="73">
        <f t="shared" si="23"/>
        <v>95.62478200144658</v>
      </c>
      <c r="BF47" s="74">
        <f t="shared" si="24"/>
        <v>90.1538700430005</v>
      </c>
      <c r="BG47" s="72">
        <f t="shared" si="25"/>
        <v>209.1021879038209</v>
      </c>
      <c r="BH47" s="72">
        <f t="shared" si="26"/>
        <v>218.8905532080965</v>
      </c>
      <c r="BI47" s="75">
        <f t="shared" si="27"/>
        <v>2.2870400275587865</v>
      </c>
      <c r="BJ47" s="58"/>
      <c r="BK47" s="92">
        <f>(3*('[1]setup'!$D$19*(10^-S47)^3)+2*('[1]setup'!$D$20*'[1]setup'!$D$19*((10^-S47)^2))+('[1]setup'!$D$21*'[1]setup'!$D$19*10^-S47)+('[1]setup'!$D$19*'[1]setup'!$D$22*(AP47/(10^6*2))*(10^-S47)^3))*10^6</f>
        <v>0.006097152067733927</v>
      </c>
      <c r="BL47" s="93">
        <f t="shared" si="28"/>
        <v>85.84251384923871</v>
      </c>
      <c r="BM47" s="74">
        <f>(BL47/((('[1]setup'!$C$26)/10^-S47)+2*(('[1]setup'!$C$26*'[1]setup'!$C$27)/(10^-S47^2))+3*(('[1]setup'!$C$26*'[1]setup'!$C$27*'[1]setup'!$C$28)/(10^-S47^3))))/(10^-S47^3/(10^-S47^3+'[1]setup'!$C$26*10^-S47^2+'[1]setup'!$C$26*'[1]setup'!$C$27*10^-S47+'[1]setup'!$C$26*'[1]setup'!$C$27*'[1]setup'!$C$28))</f>
        <v>40.94515527473988</v>
      </c>
      <c r="BN47" s="74"/>
      <c r="BO47" s="123">
        <f t="shared" si="32"/>
        <v>207.19672718585764</v>
      </c>
      <c r="BP47" s="123">
        <f t="shared" si="29"/>
        <v>117.04285714285714</v>
      </c>
      <c r="BQ47" s="123">
        <f t="shared" si="0"/>
        <v>1.7702637499096832</v>
      </c>
      <c r="BR47" s="123">
        <f t="shared" si="30"/>
        <v>89.43958432871477</v>
      </c>
      <c r="BS47" s="123">
        <f t="shared" si="31"/>
        <v>1.599597872431446</v>
      </c>
      <c r="BT47" s="74"/>
    </row>
    <row r="48" spans="1:72" ht="12.75">
      <c r="A48" s="28">
        <v>39126</v>
      </c>
      <c r="B48" s="16">
        <v>15</v>
      </c>
      <c r="C48" s="1" t="s">
        <v>85</v>
      </c>
      <c r="D48" s="1">
        <v>884453</v>
      </c>
      <c r="E48" s="91"/>
      <c r="F48" s="9">
        <v>0.009</v>
      </c>
      <c r="G48" s="9">
        <f>G6</f>
        <v>0.002</v>
      </c>
      <c r="H48" s="9">
        <v>0.083</v>
      </c>
      <c r="I48" s="9">
        <v>2.84</v>
      </c>
      <c r="J48" s="9">
        <f>J6</f>
        <v>0.01</v>
      </c>
      <c r="K48" s="9">
        <v>0.054</v>
      </c>
      <c r="L48" s="9">
        <f>L6</f>
        <v>0.005</v>
      </c>
      <c r="M48" s="9">
        <v>0.19</v>
      </c>
      <c r="N48" s="4">
        <v>1.06</v>
      </c>
      <c r="O48" s="9">
        <v>0.4</v>
      </c>
      <c r="P48" s="9">
        <v>3.32</v>
      </c>
      <c r="Q48" s="9">
        <v>0.629</v>
      </c>
      <c r="R48" s="9">
        <v>4.649</v>
      </c>
      <c r="S48" s="4">
        <v>6.66</v>
      </c>
      <c r="T48" s="9">
        <v>18.8</v>
      </c>
      <c r="U48" s="9">
        <v>28.512</v>
      </c>
      <c r="V48" s="9">
        <f>V6</f>
        <v>0.05</v>
      </c>
      <c r="W48" s="9">
        <v>0.66</v>
      </c>
      <c r="X48" s="4">
        <f>X6</f>
        <v>0.002</v>
      </c>
      <c r="Y48" s="9">
        <f>Y6</f>
        <v>0.002</v>
      </c>
      <c r="Z48" s="9">
        <v>2.4</v>
      </c>
      <c r="AA48" s="9">
        <v>0.13</v>
      </c>
      <c r="AB48" s="75">
        <v>0.066</v>
      </c>
      <c r="AE48" s="78">
        <f t="shared" si="1"/>
        <v>0.3214285714285714</v>
      </c>
      <c r="AF48" s="78">
        <f t="shared" si="2"/>
        <v>0.07272727272727272</v>
      </c>
      <c r="AG48" s="78">
        <f t="shared" si="3"/>
        <v>9.222222222222221</v>
      </c>
      <c r="AH48" s="78">
        <f t="shared" si="4"/>
        <v>405.71428571428567</v>
      </c>
      <c r="AI48" s="78">
        <f t="shared" si="5"/>
        <v>0.7142857142857143</v>
      </c>
      <c r="AJ48" s="78">
        <f t="shared" si="6"/>
        <v>3.857142857142857</v>
      </c>
      <c r="AK48" s="78">
        <f t="shared" si="7"/>
        <v>0.4838709677419355</v>
      </c>
      <c r="AL48" s="78">
        <f t="shared" si="8"/>
        <v>4.871794871794872</v>
      </c>
      <c r="AM48" s="78">
        <f t="shared" si="9"/>
        <v>53.00000000000001</v>
      </c>
      <c r="AN48" s="78">
        <f t="shared" si="10"/>
        <v>33.333333333333336</v>
      </c>
      <c r="AO48" s="78">
        <f t="shared" si="11"/>
        <v>144.3478260869565</v>
      </c>
      <c r="AP48" s="78">
        <f t="shared" si="12"/>
        <v>39.3125</v>
      </c>
      <c r="AQ48" s="78">
        <f t="shared" si="13"/>
        <v>132.82857142857142</v>
      </c>
      <c r="AR48" s="68">
        <f t="shared" si="14"/>
        <v>0.21877616239495515</v>
      </c>
      <c r="AS48" s="78">
        <f t="shared" si="15"/>
        <v>4.838709677419355</v>
      </c>
      <c r="AT48" s="78">
        <f t="shared" si="16"/>
        <v>41.25</v>
      </c>
      <c r="AU48" s="78">
        <f t="shared" si="17"/>
        <v>0.06349206349206349</v>
      </c>
      <c r="AV48" s="78">
        <f t="shared" si="18"/>
        <v>0.061538461538461535</v>
      </c>
      <c r="AW48" s="97">
        <f t="shared" si="33"/>
        <v>9.285714285714286</v>
      </c>
      <c r="AX48" s="68">
        <f t="shared" si="33"/>
        <v>4.714285714285714</v>
      </c>
      <c r="AY48" s="68"/>
      <c r="AZ48" s="68">
        <f t="shared" si="19"/>
        <v>4.571428571428571</v>
      </c>
      <c r="BA48" s="103">
        <f t="shared" si="20"/>
        <v>236.26724000637043</v>
      </c>
      <c r="BB48" s="103">
        <f t="shared" si="21"/>
        <v>175.99821428571428</v>
      </c>
      <c r="BC48" s="27">
        <f t="shared" si="22"/>
        <v>14.618985193446823</v>
      </c>
      <c r="BD48" s="79">
        <f>(('[1]setup'!$B$13*'[1]setup'!$B$14*'[1]setup'!$B$15)/10^(-S48))*10^6</f>
        <v>54.19931572989135</v>
      </c>
      <c r="BE48" s="73">
        <f t="shared" si="23"/>
        <v>23.151389008871618</v>
      </c>
      <c r="BF48" s="74">
        <f t="shared" si="24"/>
        <v>60.269025720656145</v>
      </c>
      <c r="BG48" s="72">
        <f t="shared" si="25"/>
        <v>236.4860161687654</v>
      </c>
      <c r="BH48" s="72">
        <f t="shared" si="26"/>
        <v>253.34891902447725</v>
      </c>
      <c r="BI48" s="75">
        <f t="shared" si="27"/>
        <v>3.442568433600873</v>
      </c>
      <c r="BJ48" s="58"/>
      <c r="BK48" s="92">
        <f>(3*('[1]setup'!$D$19*(10^-S48)^3)+2*('[1]setup'!$D$20*'[1]setup'!$D$19*((10^-S48)^2))+('[1]setup'!$D$21*'[1]setup'!$D$19*10^-S48)+('[1]setup'!$D$19*'[1]setup'!$D$22*(AP48/(10^6*2))*(10^-S48)^3))*10^6</f>
        <v>0.00022595011731953553</v>
      </c>
      <c r="BL48" s="93">
        <f t="shared" si="28"/>
        <v>6.288712103277049</v>
      </c>
      <c r="BM48" s="74">
        <f>(BL48/((('[1]setup'!$C$26)/10^-S48)+2*(('[1]setup'!$C$26*'[1]setup'!$C$27)/(10^-S48^2))+3*(('[1]setup'!$C$26*'[1]setup'!$C$27*'[1]setup'!$C$28)/(10^-S48^3))))/(10^-S48^3/(10^-S48^3+'[1]setup'!$C$26*10^-S48^2+'[1]setup'!$C$26*'[1]setup'!$C$27*10^-S48+'[1]setup'!$C$26*'[1]setup'!$C$27*'[1]setup'!$C$28))</f>
        <v>2.4106420196551137</v>
      </c>
      <c r="BN48" s="74"/>
      <c r="BO48" s="123">
        <f t="shared" si="32"/>
        <v>236.26724000637043</v>
      </c>
      <c r="BP48" s="123">
        <f t="shared" si="29"/>
        <v>175.99821428571428</v>
      </c>
      <c r="BQ48" s="123">
        <f t="shared" si="0"/>
        <v>1.3424411205832796</v>
      </c>
      <c r="BR48" s="123">
        <f t="shared" si="30"/>
        <v>59.55474000637042</v>
      </c>
      <c r="BS48" s="123">
        <f t="shared" si="31"/>
        <v>1.086722717367924</v>
      </c>
      <c r="BT48" s="74"/>
    </row>
    <row r="49" spans="1:72" ht="12.75">
      <c r="A49" s="23">
        <v>39139</v>
      </c>
      <c r="B49" s="21">
        <v>17.3</v>
      </c>
      <c r="C49" s="1" t="s">
        <v>85</v>
      </c>
      <c r="D49" s="87">
        <v>885321</v>
      </c>
      <c r="E49" s="121"/>
      <c r="F49" s="1">
        <v>0.017</v>
      </c>
      <c r="G49" s="9">
        <f>G6</f>
        <v>0.002</v>
      </c>
      <c r="H49" s="9">
        <v>0.138</v>
      </c>
      <c r="I49" s="9">
        <v>2.42</v>
      </c>
      <c r="J49" s="9">
        <f>J6</f>
        <v>0.01</v>
      </c>
      <c r="K49" s="9">
        <v>0.034</v>
      </c>
      <c r="L49" s="9">
        <v>0.005</v>
      </c>
      <c r="M49" s="9">
        <v>0.19</v>
      </c>
      <c r="N49" s="9">
        <v>0.97</v>
      </c>
      <c r="O49" s="9">
        <v>0.37</v>
      </c>
      <c r="P49" s="9">
        <v>3.48</v>
      </c>
      <c r="Q49" s="9">
        <v>0.567</v>
      </c>
      <c r="R49" s="9">
        <v>4.644</v>
      </c>
      <c r="S49" s="4">
        <v>6.39</v>
      </c>
      <c r="T49" s="4">
        <v>19.2</v>
      </c>
      <c r="U49" s="4">
        <v>28.428</v>
      </c>
      <c r="V49" s="9">
        <v>0.08</v>
      </c>
      <c r="W49" s="9">
        <v>0.61</v>
      </c>
      <c r="X49" s="9">
        <f>X6</f>
        <v>0.002</v>
      </c>
      <c r="Y49" s="9">
        <f>Y6</f>
        <v>0.002</v>
      </c>
      <c r="Z49" s="9">
        <v>3.8</v>
      </c>
      <c r="AA49" s="9">
        <v>0.15</v>
      </c>
      <c r="AB49" s="75">
        <v>0.10599999999999998</v>
      </c>
      <c r="AE49" s="78">
        <f t="shared" si="1"/>
        <v>0.6071428571428572</v>
      </c>
      <c r="AF49" s="78">
        <f t="shared" si="2"/>
        <v>0.07272727272727272</v>
      </c>
      <c r="AG49" s="78">
        <f t="shared" si="3"/>
        <v>15.333333333333334</v>
      </c>
      <c r="AH49" s="78">
        <f t="shared" si="4"/>
        <v>345.7142857142857</v>
      </c>
      <c r="AI49" s="78">
        <f t="shared" si="5"/>
        <v>0.7142857142857143</v>
      </c>
      <c r="AJ49" s="78">
        <f t="shared" si="6"/>
        <v>2.428571428571429</v>
      </c>
      <c r="AK49" s="78">
        <f t="shared" si="7"/>
        <v>0.4838709677419355</v>
      </c>
      <c r="AL49" s="78">
        <f t="shared" si="8"/>
        <v>4.871794871794872</v>
      </c>
      <c r="AM49" s="78">
        <f t="shared" si="9"/>
        <v>48.5</v>
      </c>
      <c r="AN49" s="78">
        <f t="shared" si="10"/>
        <v>30.833333333333336</v>
      </c>
      <c r="AO49" s="78">
        <f t="shared" si="11"/>
        <v>151.30434782608697</v>
      </c>
      <c r="AP49" s="78">
        <f t="shared" si="12"/>
        <v>35.4375</v>
      </c>
      <c r="AQ49" s="78">
        <f t="shared" si="13"/>
        <v>132.68571428571428</v>
      </c>
      <c r="AR49" s="68">
        <f t="shared" si="14"/>
        <v>0.407380277804113</v>
      </c>
      <c r="AS49" s="78">
        <f t="shared" si="15"/>
        <v>7.741935483870968</v>
      </c>
      <c r="AT49" s="78">
        <f t="shared" si="16"/>
        <v>38.125</v>
      </c>
      <c r="AU49" s="78">
        <f t="shared" si="17"/>
        <v>0.06349206349206349</v>
      </c>
      <c r="AV49" s="78">
        <f t="shared" si="18"/>
        <v>0.061538461538461535</v>
      </c>
      <c r="AW49" s="97">
        <f t="shared" si="33"/>
        <v>10.714285714285714</v>
      </c>
      <c r="AX49" s="68">
        <f t="shared" si="33"/>
        <v>7.57142857142857</v>
      </c>
      <c r="AY49" s="68"/>
      <c r="AZ49" s="68">
        <f t="shared" si="19"/>
        <v>3.1428571428571432</v>
      </c>
      <c r="BA49" s="103">
        <f t="shared" si="20"/>
        <v>236.2237617455009</v>
      </c>
      <c r="BB49" s="103">
        <f t="shared" si="21"/>
        <v>170.5517857142857</v>
      </c>
      <c r="BC49" s="27">
        <f t="shared" si="22"/>
        <v>16.144524035754007</v>
      </c>
      <c r="BD49" s="79">
        <f>(('[1]setup'!$B$13*'[1]setup'!$B$14*'[1]setup'!$B$15)/10^(-S49))*10^6</f>
        <v>29.106755888462022</v>
      </c>
      <c r="BE49" s="73">
        <f t="shared" si="23"/>
        <v>36.069422294949746</v>
      </c>
      <c r="BF49" s="74">
        <f t="shared" si="24"/>
        <v>65.6719760312152</v>
      </c>
      <c r="BG49" s="72">
        <f t="shared" si="25"/>
        <v>236.63114202330502</v>
      </c>
      <c r="BH49" s="72">
        <f t="shared" si="26"/>
        <v>235.72796389769746</v>
      </c>
      <c r="BI49" s="75">
        <f t="shared" si="27"/>
        <v>0.1912058250357094</v>
      </c>
      <c r="BJ49" s="58"/>
      <c r="BK49" s="92">
        <f>(3*('[1]setup'!$D$19*(10^-S49)^3)+2*('[1]setup'!$D$20*'[1]setup'!$D$19*((10^-S49)^2))+('[1]setup'!$D$21*'[1]setup'!$D$19*10^-S49)+('[1]setup'!$D$19*'[1]setup'!$D$22*(AP49/(10^6*2))*(10^-S49)^3))*10^6</f>
        <v>0.0004848089225262183</v>
      </c>
      <c r="BL49" s="93">
        <f t="shared" si="28"/>
        <v>36.97308522947981</v>
      </c>
      <c r="BM49" s="74">
        <f>(BL49/((('[1]setup'!$C$26)/10^-S49)+2*(('[1]setup'!$C$26*'[1]setup'!$C$27)/(10^-S49^2))+3*(('[1]setup'!$C$26*'[1]setup'!$C$27*'[1]setup'!$C$28)/(10^-S49^3))))/(10^-S49^3/(10^-S49^3+'[1]setup'!$C$26*10^-S49^2+'[1]setup'!$C$26*'[1]setup'!$C$27*10^-S49+'[1]setup'!$C$26*'[1]setup'!$C$27*'[1]setup'!$C$28))</f>
        <v>15.094370525637581</v>
      </c>
      <c r="BN49" s="74"/>
      <c r="BO49" s="123">
        <f t="shared" si="32"/>
        <v>236.2237617455009</v>
      </c>
      <c r="BP49" s="123">
        <f t="shared" si="29"/>
        <v>170.5517857142857</v>
      </c>
      <c r="BQ49" s="123">
        <f t="shared" si="0"/>
        <v>1.3850559274778347</v>
      </c>
      <c r="BR49" s="123">
        <f t="shared" si="30"/>
        <v>64.95769031692947</v>
      </c>
      <c r="BS49" s="123">
        <f t="shared" si="31"/>
        <v>1.1403213122121112</v>
      </c>
      <c r="BT49" s="74"/>
    </row>
    <row r="50" spans="1:72" s="1" customFormat="1" ht="12.75">
      <c r="A50" s="28">
        <v>39168</v>
      </c>
      <c r="B50" s="16">
        <v>13.45</v>
      </c>
      <c r="C50" s="8" t="s">
        <v>85</v>
      </c>
      <c r="D50" s="5">
        <v>886507</v>
      </c>
      <c r="E50" s="5"/>
      <c r="F50" s="33">
        <v>0.0258</v>
      </c>
      <c r="G50" s="9">
        <v>0.0023</v>
      </c>
      <c r="H50" s="9">
        <v>0.1073</v>
      </c>
      <c r="I50" s="9">
        <v>2.279</v>
      </c>
      <c r="J50" s="9">
        <f>J6</f>
        <v>0.01</v>
      </c>
      <c r="K50" s="4">
        <v>0.08612</v>
      </c>
      <c r="L50" s="9">
        <v>0.006</v>
      </c>
      <c r="M50" s="9">
        <v>0.284</v>
      </c>
      <c r="N50" s="9">
        <v>0.876</v>
      </c>
      <c r="O50" s="9">
        <v>0.4272</v>
      </c>
      <c r="P50" s="9">
        <v>4.555</v>
      </c>
      <c r="Q50" s="9">
        <v>0.5916</v>
      </c>
      <c r="R50" s="9">
        <v>5.197</v>
      </c>
      <c r="S50" s="9">
        <v>6.51</v>
      </c>
      <c r="T50" s="9">
        <v>19</v>
      </c>
      <c r="U50" s="9">
        <v>29.739</v>
      </c>
      <c r="V50" s="9">
        <f>V6</f>
        <v>0.05</v>
      </c>
      <c r="W50" s="9">
        <v>0.545</v>
      </c>
      <c r="X50" s="9">
        <f>X6</f>
        <v>0.002</v>
      </c>
      <c r="Y50" s="9">
        <f>Y6</f>
        <v>0.002</v>
      </c>
      <c r="Z50" s="9">
        <v>2.729</v>
      </c>
      <c r="AA50" s="9">
        <v>0.145</v>
      </c>
      <c r="AB50" s="75">
        <v>0.04887999999999999</v>
      </c>
      <c r="AE50" s="78">
        <f t="shared" si="1"/>
        <v>0.9214285714285714</v>
      </c>
      <c r="AF50" s="78">
        <f t="shared" si="2"/>
        <v>0.08363636363636363</v>
      </c>
      <c r="AG50" s="78">
        <f t="shared" si="3"/>
        <v>11.922222222222222</v>
      </c>
      <c r="AH50" s="78">
        <f t="shared" si="4"/>
        <v>325.57142857142856</v>
      </c>
      <c r="AI50" s="78">
        <f t="shared" si="5"/>
        <v>0.7142857142857143</v>
      </c>
      <c r="AJ50" s="78">
        <f t="shared" si="6"/>
        <v>6.151428571428571</v>
      </c>
      <c r="AK50" s="78">
        <f t="shared" si="7"/>
        <v>0.5806451612903225</v>
      </c>
      <c r="AL50" s="78">
        <f t="shared" si="8"/>
        <v>7.282051282051281</v>
      </c>
      <c r="AM50" s="78">
        <f t="shared" si="9"/>
        <v>43.8</v>
      </c>
      <c r="AN50" s="78">
        <f t="shared" si="10"/>
        <v>35.6</v>
      </c>
      <c r="AO50" s="78">
        <f t="shared" si="11"/>
        <v>198.04347826086953</v>
      </c>
      <c r="AP50" s="78">
        <f t="shared" si="12"/>
        <v>36.975</v>
      </c>
      <c r="AQ50" s="78">
        <f t="shared" si="13"/>
        <v>148.48571428571427</v>
      </c>
      <c r="AR50" s="68">
        <f t="shared" si="14"/>
        <v>0.3090295432513592</v>
      </c>
      <c r="AS50" s="78">
        <f t="shared" si="15"/>
        <v>4.838709677419355</v>
      </c>
      <c r="AT50" s="78">
        <f t="shared" si="16"/>
        <v>34.0625</v>
      </c>
      <c r="AU50" s="78">
        <f t="shared" si="17"/>
        <v>0.06349206349206349</v>
      </c>
      <c r="AV50" s="78">
        <f t="shared" si="18"/>
        <v>0.061538461538461535</v>
      </c>
      <c r="AW50" s="97">
        <f t="shared" si="33"/>
        <v>10.357142857142856</v>
      </c>
      <c r="AX50" s="68">
        <f t="shared" si="33"/>
        <v>3.491428571428571</v>
      </c>
      <c r="AY50" s="68"/>
      <c r="AZ50" s="68">
        <f t="shared" si="19"/>
        <v>6.865714285714286</v>
      </c>
      <c r="BA50" s="103">
        <f t="shared" si="20"/>
        <v>285.43981525720653</v>
      </c>
      <c r="BB50" s="103">
        <f t="shared" si="21"/>
        <v>191.61214285714283</v>
      </c>
      <c r="BC50" s="27">
        <f t="shared" si="22"/>
        <v>19.668229173806935</v>
      </c>
      <c r="BD50" s="79">
        <f>(('[1]setup'!$B$13*'[1]setup'!$B$14*'[1]setup'!$B$15)/10^(-S50))*10^6</f>
        <v>38.370177087481466</v>
      </c>
      <c r="BE50" s="73">
        <f t="shared" si="23"/>
        <v>26.10713465255974</v>
      </c>
      <c r="BF50" s="74">
        <f t="shared" si="24"/>
        <v>93.8276724000637</v>
      </c>
      <c r="BG50" s="72">
        <f t="shared" si="25"/>
        <v>285.7488448004579</v>
      </c>
      <c r="BH50" s="72">
        <f t="shared" si="26"/>
        <v>256.08945459718404</v>
      </c>
      <c r="BI50" s="75">
        <f t="shared" si="27"/>
        <v>5.47384528488407</v>
      </c>
      <c r="BJ50" s="58"/>
      <c r="BK50" s="92">
        <f>(3*('[1]setup'!$D$19*(10^-S50)^3)+2*('[1]setup'!$D$20*'[1]setup'!$D$19*((10^-S50)^2))+('[1]setup'!$D$21*'[1]setup'!$D$19*10^-S50)+('[1]setup'!$D$19*'[1]setup'!$D$22*(AP50/(10^6*2))*(10^-S50)^3))*10^6</f>
        <v>0.00034159445749609236</v>
      </c>
      <c r="BL50" s="93">
        <f t="shared" si="28"/>
        <v>55.766866450291104</v>
      </c>
      <c r="BM50" s="74">
        <f>(BL50/((('[1]setup'!$C$26)/10^-S50)+2*(('[1]setup'!$C$26*'[1]setup'!$C$27)/(10^-S50^2))+3*(('[1]setup'!$C$26*'[1]setup'!$C$27*'[1]setup'!$C$28)/(10^-S50^3))))/(10^-S50^3/(10^-S50^3+'[1]setup'!$C$26*10^-S50^2+'[1]setup'!$C$26*'[1]setup'!$C$27*10^-S50+'[1]setup'!$C$26*'[1]setup'!$C$27*'[1]setup'!$C$28))</f>
        <v>22.115876669304868</v>
      </c>
      <c r="BN50" s="74"/>
      <c r="BO50" s="123">
        <f t="shared" si="32"/>
        <v>285.43981525720653</v>
      </c>
      <c r="BP50" s="123">
        <f t="shared" si="29"/>
        <v>191.61214285714283</v>
      </c>
      <c r="BQ50" s="123">
        <f t="shared" si="0"/>
        <v>1.4896749809327965</v>
      </c>
      <c r="BR50" s="123">
        <f t="shared" si="30"/>
        <v>93.11338668577798</v>
      </c>
      <c r="BS50" s="123">
        <f t="shared" si="31"/>
        <v>1.3337544235386636</v>
      </c>
      <c r="BT50" s="74"/>
    </row>
    <row r="51" spans="1:72" s="1" customFormat="1" ht="12.75">
      <c r="A51" s="28">
        <v>39182</v>
      </c>
      <c r="B51" s="16">
        <v>12.45</v>
      </c>
      <c r="C51" s="1" t="s">
        <v>85</v>
      </c>
      <c r="D51" s="1">
        <v>891256</v>
      </c>
      <c r="F51" s="1">
        <v>0.0073</v>
      </c>
      <c r="G51" s="9">
        <f>G6</f>
        <v>0.002</v>
      </c>
      <c r="H51" s="9">
        <v>0.02174</v>
      </c>
      <c r="I51" s="9">
        <v>4.21</v>
      </c>
      <c r="J51" s="9">
        <v>0.027</v>
      </c>
      <c r="K51" s="9">
        <v>0.04</v>
      </c>
      <c r="L51" s="9">
        <v>0.008</v>
      </c>
      <c r="M51" s="9">
        <v>0.237</v>
      </c>
      <c r="N51" s="9">
        <v>1.04</v>
      </c>
      <c r="O51" s="9">
        <v>0.3559</v>
      </c>
      <c r="P51" s="9">
        <v>3.867</v>
      </c>
      <c r="Q51" s="9">
        <v>0.676</v>
      </c>
      <c r="R51" s="9">
        <v>4.659</v>
      </c>
      <c r="S51" s="9">
        <v>6.76</v>
      </c>
      <c r="T51" s="9">
        <v>20.2</v>
      </c>
      <c r="U51" s="4">
        <v>29.512</v>
      </c>
      <c r="V51" s="9">
        <f>V6</f>
        <v>0.05</v>
      </c>
      <c r="W51" s="75"/>
      <c r="X51" s="9">
        <f>X6</f>
        <v>0.002</v>
      </c>
      <c r="Y51" s="9">
        <f>Y6</f>
        <v>0.002</v>
      </c>
      <c r="Z51" s="9">
        <v>1.5</v>
      </c>
      <c r="AA51" s="9">
        <v>0.28</v>
      </c>
      <c r="AB51" s="75">
        <v>0.21300000000000002</v>
      </c>
      <c r="AE51" s="78">
        <f t="shared" si="1"/>
        <v>0.26071428571428573</v>
      </c>
      <c r="AF51" s="78">
        <f t="shared" si="2"/>
        <v>0.07272727272727272</v>
      </c>
      <c r="AG51" s="78">
        <f t="shared" si="3"/>
        <v>2.4155555555555552</v>
      </c>
      <c r="AH51" s="78">
        <f t="shared" si="4"/>
        <v>601.4285714285714</v>
      </c>
      <c r="AI51" s="78">
        <f t="shared" si="5"/>
        <v>1.9285714285714286</v>
      </c>
      <c r="AJ51" s="78">
        <f t="shared" si="6"/>
        <v>2.857142857142857</v>
      </c>
      <c r="AK51" s="78">
        <f t="shared" si="7"/>
        <v>0.7741935483870969</v>
      </c>
      <c r="AL51" s="78">
        <f t="shared" si="8"/>
        <v>6.076923076923077</v>
      </c>
      <c r="AM51" s="78">
        <f t="shared" si="9"/>
        <v>52.00000000000001</v>
      </c>
      <c r="AN51" s="78">
        <f t="shared" si="10"/>
        <v>29.65833333333333</v>
      </c>
      <c r="AO51" s="78">
        <f t="shared" si="11"/>
        <v>168.1304347826087</v>
      </c>
      <c r="AP51" s="78">
        <f t="shared" si="12"/>
        <v>42.25</v>
      </c>
      <c r="AQ51" s="78">
        <f t="shared" si="13"/>
        <v>133.1142857142857</v>
      </c>
      <c r="AR51" s="68">
        <f t="shared" si="14"/>
        <v>0.17378008287493762</v>
      </c>
      <c r="AS51" s="78">
        <f t="shared" si="15"/>
        <v>4.838709677419355</v>
      </c>
      <c r="AT51" s="78"/>
      <c r="AU51" s="78">
        <f t="shared" si="17"/>
        <v>0.06349206349206349</v>
      </c>
      <c r="AV51" s="78">
        <f t="shared" si="18"/>
        <v>0.061538461538461535</v>
      </c>
      <c r="AW51" s="97">
        <f t="shared" si="33"/>
        <v>20</v>
      </c>
      <c r="AX51" s="68">
        <f t="shared" si="33"/>
        <v>15.214285714285717</v>
      </c>
      <c r="AY51" s="68"/>
      <c r="AZ51" s="68">
        <f t="shared" si="19"/>
        <v>4.785714285714286</v>
      </c>
      <c r="BA51" s="103">
        <f t="shared" si="20"/>
        <v>257.79426262143653</v>
      </c>
      <c r="BB51" s="103">
        <f t="shared" si="21"/>
        <v>178.22142857142856</v>
      </c>
      <c r="BC51" s="27">
        <f t="shared" si="22"/>
        <v>18.24999321293006</v>
      </c>
      <c r="BD51" s="79">
        <f>(('[1]setup'!$B$13*'[1]setup'!$B$14*'[1]setup'!$B$15)/10^(-S51))*10^6</f>
        <v>68.23289587421549</v>
      </c>
      <c r="BE51" s="73">
        <f t="shared" si="23"/>
        <v>14.538354244636396</v>
      </c>
      <c r="BF51" s="74">
        <f t="shared" si="24"/>
        <v>79.57283405000797</v>
      </c>
      <c r="BG51" s="72">
        <f t="shared" si="25"/>
        <v>257.9680427043115</v>
      </c>
      <c r="BH51" s="72">
        <f t="shared" si="26"/>
        <v>260.99267869028046</v>
      </c>
      <c r="BI51" s="75">
        <f t="shared" si="27"/>
        <v>0.5828256091985046</v>
      </c>
      <c r="BJ51" s="58"/>
      <c r="BK51" s="92">
        <f>(3*('[1]setup'!$D$19*(10^-S51)^3)+2*('[1]setup'!$D$20*'[1]setup'!$D$19*((10^-S51)^2))+('[1]setup'!$D$21*'[1]setup'!$D$19*10^-S51)+('[1]setup'!$D$19*'[1]setup'!$D$22*(AP51/(10^6*2))*(10^-S51)^3))*10^6</f>
        <v>0.0001735085869816512</v>
      </c>
      <c r="BL51" s="93">
        <f t="shared" si="28"/>
        <v>11.513891767254393</v>
      </c>
      <c r="BM51" s="74">
        <f>(BL51/((('[1]setup'!$C$26)/10^-S51)+2*(('[1]setup'!$C$26*'[1]setup'!$C$27)/(10^-S51^2))+3*(('[1]setup'!$C$26*'[1]setup'!$C$27*'[1]setup'!$C$28)/(10^-S51^3))))/(10^-S51^3/(10^-S51^3+'[1]setup'!$C$26*10^-S51^2+'[1]setup'!$C$26*'[1]setup'!$C$27*10^-S51+'[1]setup'!$C$26*'[1]setup'!$C$27*'[1]setup'!$C$28))</f>
        <v>4.32362802927712</v>
      </c>
      <c r="BN51" s="74"/>
      <c r="BO51" s="123">
        <f t="shared" si="32"/>
        <v>257.79426262143653</v>
      </c>
      <c r="BP51" s="123">
        <f t="shared" si="29"/>
        <v>178.22142857142856</v>
      </c>
      <c r="BQ51" s="123">
        <f t="shared" si="0"/>
        <v>1.4464829773155832</v>
      </c>
      <c r="BR51" s="123">
        <f t="shared" si="30"/>
        <v>77.64426262143652</v>
      </c>
      <c r="BS51" s="123">
        <f t="shared" si="31"/>
        <v>1.2630532769674403</v>
      </c>
      <c r="BT51" s="74"/>
    </row>
    <row r="52" spans="1:72" s="1" customFormat="1" ht="12.75">
      <c r="A52" s="28">
        <v>39196</v>
      </c>
      <c r="B52" s="16">
        <v>14.15</v>
      </c>
      <c r="C52" s="8" t="s">
        <v>85</v>
      </c>
      <c r="D52" s="80">
        <v>892439</v>
      </c>
      <c r="F52" s="1">
        <v>0.0063</v>
      </c>
      <c r="G52" s="9">
        <f>G6</f>
        <v>0.002</v>
      </c>
      <c r="H52" s="9">
        <f>H6</f>
        <v>0.02</v>
      </c>
      <c r="I52" s="9">
        <v>5.01</v>
      </c>
      <c r="J52" s="9">
        <v>0.017</v>
      </c>
      <c r="K52" s="9">
        <f>K6</f>
        <v>0.025</v>
      </c>
      <c r="L52" s="9">
        <f>L6</f>
        <v>0.005</v>
      </c>
      <c r="M52" s="9">
        <v>0.404</v>
      </c>
      <c r="N52" s="9">
        <v>1.12</v>
      </c>
      <c r="O52" s="9">
        <v>0.3427</v>
      </c>
      <c r="P52" s="9">
        <v>5.932</v>
      </c>
      <c r="Q52" s="9">
        <v>0.664</v>
      </c>
      <c r="R52" s="9">
        <v>4.306</v>
      </c>
      <c r="S52" s="9">
        <v>6.93</v>
      </c>
      <c r="T52" s="9">
        <v>21.6</v>
      </c>
      <c r="U52" s="9">
        <v>30.588</v>
      </c>
      <c r="V52" s="9">
        <f>V6</f>
        <v>0.05</v>
      </c>
      <c r="W52" s="75"/>
      <c r="X52" s="9">
        <f>X6</f>
        <v>0.002</v>
      </c>
      <c r="Y52" s="9">
        <v>0.002596</v>
      </c>
      <c r="Z52" s="9">
        <v>1.3</v>
      </c>
      <c r="AA52" s="9">
        <v>0.17</v>
      </c>
      <c r="AB52" s="75">
        <v>0.128</v>
      </c>
      <c r="AE52" s="78">
        <f t="shared" si="1"/>
        <v>0.225</v>
      </c>
      <c r="AF52" s="78">
        <f t="shared" si="2"/>
        <v>0.07272727272727272</v>
      </c>
      <c r="AG52" s="78">
        <f t="shared" si="3"/>
        <v>2.2222222222222223</v>
      </c>
      <c r="AH52" s="78">
        <f t="shared" si="4"/>
        <v>715.7142857142857</v>
      </c>
      <c r="AI52" s="78">
        <f t="shared" si="5"/>
        <v>1.2142857142857144</v>
      </c>
      <c r="AJ52" s="78">
        <f t="shared" si="6"/>
        <v>1.7857142857142858</v>
      </c>
      <c r="AK52" s="78">
        <f t="shared" si="7"/>
        <v>0.4838709677419355</v>
      </c>
      <c r="AL52" s="78">
        <f t="shared" si="8"/>
        <v>10.35897435897436</v>
      </c>
      <c r="AM52" s="78">
        <f t="shared" si="9"/>
        <v>56.00000000000001</v>
      </c>
      <c r="AN52" s="78">
        <f t="shared" si="10"/>
        <v>28.558333333333334</v>
      </c>
      <c r="AO52" s="78">
        <f t="shared" si="11"/>
        <v>257.9130434782609</v>
      </c>
      <c r="AP52" s="78">
        <f t="shared" si="12"/>
        <v>41.5</v>
      </c>
      <c r="AQ52" s="78">
        <f t="shared" si="13"/>
        <v>123.02857142857142</v>
      </c>
      <c r="AR52" s="68">
        <f t="shared" si="14"/>
        <v>0.117489755493953</v>
      </c>
      <c r="AS52" s="78">
        <f t="shared" si="15"/>
        <v>4.838709677419355</v>
      </c>
      <c r="AT52" s="78"/>
      <c r="AU52" s="78">
        <f t="shared" si="17"/>
        <v>0.06349206349206349</v>
      </c>
      <c r="AV52" s="78">
        <f t="shared" si="18"/>
        <v>0.07987692307692307</v>
      </c>
      <c r="AW52" s="97">
        <f t="shared" si="33"/>
        <v>12.142857142857144</v>
      </c>
      <c r="AX52" s="68">
        <f t="shared" si="33"/>
        <v>9.142857142857144</v>
      </c>
      <c r="AY52" s="68"/>
      <c r="AZ52" s="68">
        <f t="shared" si="19"/>
        <v>3</v>
      </c>
      <c r="BA52" s="103">
        <f t="shared" si="20"/>
        <v>354.0446368848543</v>
      </c>
      <c r="BB52" s="103">
        <f t="shared" si="21"/>
        <v>166.31428571428572</v>
      </c>
      <c r="BC52" s="27">
        <f t="shared" si="22"/>
        <v>36.07708891256722</v>
      </c>
      <c r="BD52" s="79">
        <f>(('[1]setup'!$B$13*'[1]setup'!$B$14*'[1]setup'!$B$15)/10^(-S52))*10^6</f>
        <v>100.92384863656002</v>
      </c>
      <c r="BE52" s="73">
        <f t="shared" si="23"/>
        <v>12.68570073750652</v>
      </c>
      <c r="BF52" s="74">
        <f t="shared" si="24"/>
        <v>187.7303511705686</v>
      </c>
      <c r="BG52" s="72">
        <f t="shared" si="25"/>
        <v>354.1621266403483</v>
      </c>
      <c r="BH52" s="72">
        <f t="shared" si="26"/>
        <v>279.92383508835223</v>
      </c>
      <c r="BI52" s="75">
        <f t="shared" si="27"/>
        <v>11.707922274387075</v>
      </c>
      <c r="BJ52" s="58"/>
      <c r="BK52" s="92">
        <f>(3*('[1]setup'!$D$19*(10^-S52)^3)+2*('[1]setup'!$D$20*'[1]setup'!$D$19*((10^-S52)^2))+('[1]setup'!$D$21*'[1]setup'!$D$19*10^-S52)+('[1]setup'!$D$19*'[1]setup'!$D$22*(AP52/(10^6*2))*(10^-S52)^3))*10^6</f>
        <v>0.00011245812524126445</v>
      </c>
      <c r="BL52" s="93">
        <f t="shared" si="28"/>
        <v>86.92410474762778</v>
      </c>
      <c r="BM52" s="74">
        <f>(BL52/((('[1]setup'!$C$26)/10^-S52)+2*(('[1]setup'!$C$26*'[1]setup'!$C$27)/(10^-S52^2))+3*(('[1]setup'!$C$26*'[1]setup'!$C$27*'[1]setup'!$C$28)/(10^-S52^3))))/(10^-S52^3/(10^-S52^3+'[1]setup'!$C$26*10^-S52^2+'[1]setup'!$C$26*'[1]setup'!$C$27*10^-S52+'[1]setup'!$C$26*'[1]setup'!$C$27*'[1]setup'!$C$28))</f>
        <v>31.66364940792905</v>
      </c>
      <c r="BN52" s="74"/>
      <c r="BO52" s="123">
        <f t="shared" si="32"/>
        <v>354.0446368848543</v>
      </c>
      <c r="BP52" s="123">
        <f t="shared" si="29"/>
        <v>166.31428571428572</v>
      </c>
      <c r="BQ52" s="123">
        <f t="shared" si="0"/>
        <v>2.1287686464473285</v>
      </c>
      <c r="BR52" s="123">
        <f t="shared" si="30"/>
        <v>186.51606545628286</v>
      </c>
      <c r="BS52" s="123">
        <f t="shared" si="31"/>
        <v>2.0963670510309176</v>
      </c>
      <c r="BT52" s="74"/>
    </row>
    <row r="53" spans="1:72" s="1" customFormat="1" ht="12.75">
      <c r="A53" s="28">
        <v>39223</v>
      </c>
      <c r="B53" s="16">
        <v>20</v>
      </c>
      <c r="C53" s="1" t="s">
        <v>85</v>
      </c>
      <c r="D53" s="1">
        <v>893487</v>
      </c>
      <c r="F53" s="88">
        <v>0.02097</v>
      </c>
      <c r="G53" s="9">
        <f>G6</f>
        <v>0.002</v>
      </c>
      <c r="H53" s="9">
        <v>0.04632</v>
      </c>
      <c r="I53" s="9">
        <v>3.904</v>
      </c>
      <c r="J53" s="9">
        <v>0.052</v>
      </c>
      <c r="K53" s="9">
        <f>K6</f>
        <v>0.025</v>
      </c>
      <c r="L53" s="9">
        <v>0.005</v>
      </c>
      <c r="M53" s="9">
        <v>0.3816</v>
      </c>
      <c r="N53" s="9">
        <v>1.164</v>
      </c>
      <c r="O53" s="9">
        <v>0.4038</v>
      </c>
      <c r="P53" s="9">
        <v>4.244</v>
      </c>
      <c r="Q53" s="9">
        <v>0.6091</v>
      </c>
      <c r="R53" s="9">
        <v>4.427</v>
      </c>
      <c r="S53" s="9">
        <v>6.7</v>
      </c>
      <c r="T53" s="9">
        <v>19.4</v>
      </c>
      <c r="U53" s="9">
        <v>29.398</v>
      </c>
      <c r="V53" s="9">
        <f>V6</f>
        <v>0.05</v>
      </c>
      <c r="W53" s="75"/>
      <c r="X53" s="9">
        <f>X6</f>
        <v>0.002</v>
      </c>
      <c r="Y53" s="9">
        <f>Y6</f>
        <v>0.002</v>
      </c>
      <c r="Z53" s="4">
        <v>2.251</v>
      </c>
      <c r="AA53" s="4">
        <v>0.214</v>
      </c>
      <c r="AB53" s="75">
        <v>0.137</v>
      </c>
      <c r="AE53" s="78">
        <f t="shared" si="1"/>
        <v>0.7489285714285714</v>
      </c>
      <c r="AF53" s="78">
        <f t="shared" si="2"/>
        <v>0.07272727272727272</v>
      </c>
      <c r="AG53" s="78">
        <f t="shared" si="3"/>
        <v>5.1466666666666665</v>
      </c>
      <c r="AH53" s="78">
        <f t="shared" si="4"/>
        <v>557.7142857142857</v>
      </c>
      <c r="AI53" s="78">
        <f t="shared" si="5"/>
        <v>3.7142857142857144</v>
      </c>
      <c r="AJ53" s="78">
        <f t="shared" si="6"/>
        <v>1.7857142857142858</v>
      </c>
      <c r="AK53" s="78">
        <f t="shared" si="7"/>
        <v>0.4838709677419355</v>
      </c>
      <c r="AL53" s="78">
        <f t="shared" si="8"/>
        <v>9.784615384615385</v>
      </c>
      <c r="AM53" s="78">
        <f t="shared" si="9"/>
        <v>58.199999999999996</v>
      </c>
      <c r="AN53" s="78">
        <f t="shared" si="10"/>
        <v>33.65</v>
      </c>
      <c r="AO53" s="78">
        <f t="shared" si="11"/>
        <v>184.52173913043475</v>
      </c>
      <c r="AP53" s="78">
        <f t="shared" si="12"/>
        <v>38.06875</v>
      </c>
      <c r="AQ53" s="78">
        <f t="shared" si="13"/>
        <v>126.48571428571428</v>
      </c>
      <c r="AR53" s="68">
        <f t="shared" si="14"/>
        <v>0.1995262314968878</v>
      </c>
      <c r="AS53" s="78">
        <f t="shared" si="15"/>
        <v>4.838709677419355</v>
      </c>
      <c r="AT53" s="78"/>
      <c r="AU53" s="78">
        <f t="shared" si="17"/>
        <v>0.06349206349206349</v>
      </c>
      <c r="AV53" s="78">
        <f t="shared" si="18"/>
        <v>0.061538461538461535</v>
      </c>
      <c r="AW53" s="97">
        <f t="shared" si="33"/>
        <v>15.285714285714286</v>
      </c>
      <c r="AX53" s="68">
        <f t="shared" si="33"/>
        <v>9.785714285714286</v>
      </c>
      <c r="AY53" s="68"/>
      <c r="AZ53" s="68">
        <f t="shared" si="19"/>
        <v>5.5</v>
      </c>
      <c r="BA53" s="103">
        <f t="shared" si="20"/>
        <v>289.87064022933583</v>
      </c>
      <c r="BB53" s="103">
        <f t="shared" si="21"/>
        <v>166.34017857142857</v>
      </c>
      <c r="BC53" s="27">
        <f t="shared" si="22"/>
        <v>27.077495001681513</v>
      </c>
      <c r="BD53" s="79">
        <f>(('[1]setup'!$B$13*'[1]setup'!$B$14*'[1]setup'!$B$15)/10^(-S53))*10^6</f>
        <v>59.428367943706206</v>
      </c>
      <c r="BE53" s="73">
        <f t="shared" si="23"/>
        <v>21.756842394970057</v>
      </c>
      <c r="BF53" s="74">
        <f t="shared" si="24"/>
        <v>123.53046165790732</v>
      </c>
      <c r="BG53" s="72">
        <f t="shared" si="25"/>
        <v>290.07016646083275</v>
      </c>
      <c r="BH53" s="72">
        <f t="shared" si="26"/>
        <v>247.52538891010482</v>
      </c>
      <c r="BI53" s="75">
        <f t="shared" si="27"/>
        <v>7.913900538365184</v>
      </c>
      <c r="BJ53" s="58"/>
      <c r="BK53" s="92">
        <f>(3*('[1]setup'!$D$19*(10^-S53)^3)+2*('[1]setup'!$D$20*'[1]setup'!$D$19*((10^-S53)^2))+('[1]setup'!$D$21*'[1]setup'!$D$19*10^-S53)+('[1]setup'!$D$19*'[1]setup'!$D$22*(AP53/(10^6*2))*(10^-S53)^3))*10^6</f>
        <v>0.0002031059799986484</v>
      </c>
      <c r="BL53" s="93">
        <f t="shared" si="28"/>
        <v>64.30182305167799</v>
      </c>
      <c r="BM53" s="74">
        <f>(BL53/((('[1]setup'!$C$26)/10^-S53)+2*(('[1]setup'!$C$26*'[1]setup'!$C$27)/(10^-S53^2))+3*(('[1]setup'!$C$26*'[1]setup'!$C$27*'[1]setup'!$C$28)/(10^-S53^3))))/(10^-S53^3/(10^-S53^3+'[1]setup'!$C$26*10^-S53^2+'[1]setup'!$C$26*'[1]setup'!$C$27*10^-S53+'[1]setup'!$C$26*'[1]setup'!$C$27*'[1]setup'!$C$28))</f>
        <v>24.441037146582584</v>
      </c>
      <c r="BN53" s="74"/>
      <c r="BO53" s="123">
        <f t="shared" si="32"/>
        <v>289.8706402293359</v>
      </c>
      <c r="BP53" s="123">
        <f t="shared" si="29"/>
        <v>166.34017857142857</v>
      </c>
      <c r="BQ53" s="123">
        <f t="shared" si="0"/>
        <v>1.742637543850308</v>
      </c>
      <c r="BR53" s="123">
        <f t="shared" si="30"/>
        <v>119.81617594362154</v>
      </c>
      <c r="BS53" s="123">
        <f t="shared" si="31"/>
        <v>1.458834621541725</v>
      </c>
      <c r="BT53" s="74"/>
    </row>
    <row r="54" spans="1:72" ht="12.75">
      <c r="A54" s="23">
        <v>39252</v>
      </c>
      <c r="B54" s="16">
        <v>12.3</v>
      </c>
      <c r="C54" s="8" t="s">
        <v>85</v>
      </c>
      <c r="D54" s="80">
        <v>896808</v>
      </c>
      <c r="E54" s="1"/>
      <c r="F54" s="89">
        <f>F6</f>
        <v>0.006</v>
      </c>
      <c r="G54" s="145">
        <f>G6</f>
        <v>0.002</v>
      </c>
      <c r="H54" s="145">
        <v>0.0585</v>
      </c>
      <c r="I54" s="145">
        <v>3.042</v>
      </c>
      <c r="J54" s="9">
        <v>0.057</v>
      </c>
      <c r="K54" s="9">
        <f>K6</f>
        <v>0.025</v>
      </c>
      <c r="L54" s="9">
        <f>L6</f>
        <v>0.005</v>
      </c>
      <c r="M54" s="145">
        <v>0.192</v>
      </c>
      <c r="N54" s="145">
        <v>0.9407</v>
      </c>
      <c r="O54" s="145">
        <v>0.3578</v>
      </c>
      <c r="P54" s="145">
        <v>3.632</v>
      </c>
      <c r="Q54" s="9">
        <v>0.6107</v>
      </c>
      <c r="R54" s="9">
        <v>3.996</v>
      </c>
      <c r="S54" s="9">
        <v>6.77</v>
      </c>
      <c r="T54" s="128">
        <v>19.7</v>
      </c>
      <c r="U54" s="128">
        <v>28.036</v>
      </c>
      <c r="V54" s="145">
        <f>V6</f>
        <v>0.05</v>
      </c>
      <c r="W54" s="145"/>
      <c r="X54" s="145">
        <f>X6</f>
        <v>0.002</v>
      </c>
      <c r="Y54" s="145">
        <v>0.002767</v>
      </c>
      <c r="Z54" s="9">
        <v>2.6457000000000006</v>
      </c>
      <c r="AA54" s="11">
        <v>0.366726607318845</v>
      </c>
      <c r="AB54" s="75">
        <v>0.28472660731884497</v>
      </c>
      <c r="AE54" s="78">
        <f t="shared" si="1"/>
        <v>0.2142857142857143</v>
      </c>
      <c r="AF54" s="78">
        <f t="shared" si="2"/>
        <v>0.07272727272727272</v>
      </c>
      <c r="AG54" s="78">
        <f t="shared" si="3"/>
        <v>6.500000000000001</v>
      </c>
      <c r="AH54" s="78">
        <f t="shared" si="4"/>
        <v>434.57142857142856</v>
      </c>
      <c r="AI54" s="78">
        <f t="shared" si="5"/>
        <v>4.071428571428571</v>
      </c>
      <c r="AJ54" s="78">
        <f t="shared" si="6"/>
        <v>1.7857142857142858</v>
      </c>
      <c r="AK54" s="78">
        <f t="shared" si="7"/>
        <v>0.4838709677419355</v>
      </c>
      <c r="AL54" s="78">
        <f t="shared" si="8"/>
        <v>4.923076923076923</v>
      </c>
      <c r="AM54" s="78">
        <f t="shared" si="9"/>
        <v>47.035000000000004</v>
      </c>
      <c r="AN54" s="78">
        <f t="shared" si="10"/>
        <v>29.81666666666667</v>
      </c>
      <c r="AO54" s="78">
        <f t="shared" si="11"/>
        <v>157.91304347826087</v>
      </c>
      <c r="AP54" s="78">
        <f t="shared" si="12"/>
        <v>38.16875</v>
      </c>
      <c r="AQ54" s="78">
        <f t="shared" si="13"/>
        <v>114.17142857142858</v>
      </c>
      <c r="AR54" s="68">
        <f t="shared" si="14"/>
        <v>0.16982436524617459</v>
      </c>
      <c r="AS54" s="78">
        <f t="shared" si="15"/>
        <v>4.838709677419355</v>
      </c>
      <c r="AT54" s="78"/>
      <c r="AU54" s="78">
        <f t="shared" si="17"/>
        <v>0.06349206349206349</v>
      </c>
      <c r="AV54" s="78">
        <f t="shared" si="18"/>
        <v>0.08513846153846154</v>
      </c>
      <c r="AW54" s="97">
        <f t="shared" si="33"/>
        <v>26.194757665631784</v>
      </c>
      <c r="AX54" s="68">
        <f t="shared" si="33"/>
        <v>20.337614808488926</v>
      </c>
      <c r="AY54" s="68"/>
      <c r="AZ54" s="68">
        <f t="shared" si="19"/>
        <v>5.857142857142857</v>
      </c>
      <c r="BA54" s="103">
        <f t="shared" si="20"/>
        <v>243.75921563943305</v>
      </c>
      <c r="BB54" s="103">
        <f t="shared" si="21"/>
        <v>154.12589285714287</v>
      </c>
      <c r="BC54" s="27">
        <f t="shared" si="22"/>
        <v>22.52743841582137</v>
      </c>
      <c r="BD54" s="79">
        <f>(('[1]setup'!$B$13*'[1]setup'!$B$14*'[1]setup'!$B$15)/10^(-S54))*10^6</f>
        <v>69.82224419110709</v>
      </c>
      <c r="BE54" s="73">
        <f t="shared" si="23"/>
        <v>25.654078084000282</v>
      </c>
      <c r="BF54" s="74">
        <f t="shared" si="24"/>
        <v>89.63332278229024</v>
      </c>
      <c r="BG54" s="72">
        <f t="shared" si="25"/>
        <v>243.92904000467925</v>
      </c>
      <c r="BH54" s="72">
        <f t="shared" si="26"/>
        <v>249.6022151322502</v>
      </c>
      <c r="BI54" s="75">
        <f t="shared" si="27"/>
        <v>1.149506757377895</v>
      </c>
      <c r="BJ54" s="58"/>
      <c r="BK54" s="92">
        <f>(3*('[1]setup'!$D$19*(10^-S54)^3)+2*('[1]setup'!$D$20*'[1]setup'!$D$19*((10^-S54)^2))+('[1]setup'!$D$21*'[1]setup'!$D$19*10^-S54)+('[1]setup'!$D$19*'[1]setup'!$D$22*(AP54/(10^6*2))*(10^-S54)^3))*10^6</f>
        <v>0.0001690551667644326</v>
      </c>
      <c r="BL54" s="93">
        <f t="shared" si="28"/>
        <v>19.981072011596098</v>
      </c>
      <c r="BM54" s="74">
        <f>(BL54/((('[1]setup'!$C$26)/10^-S54)+2*(('[1]setup'!$C$26*'[1]setup'!$C$27)/(10^-S54^2))+3*(('[1]setup'!$C$26*'[1]setup'!$C$27*'[1]setup'!$C$28)/(10^-S54^3))))/(10^-S54^3/(10^-S54^3+'[1]setup'!$C$26*10^-S54^2+'[1]setup'!$C$26*'[1]setup'!$C$27*10^-S54+'[1]setup'!$C$26*'[1]setup'!$C$27*'[1]setup'!$C$28))</f>
        <v>7.4885237805531935</v>
      </c>
      <c r="BN54" s="74"/>
      <c r="BO54" s="123">
        <f t="shared" si="32"/>
        <v>243.75921563943305</v>
      </c>
      <c r="BP54" s="123">
        <f t="shared" si="29"/>
        <v>154.12589285714287</v>
      </c>
      <c r="BQ54" s="123">
        <f t="shared" si="0"/>
        <v>1.5815591470108792</v>
      </c>
      <c r="BR54" s="123">
        <f t="shared" si="30"/>
        <v>85.5618942108616</v>
      </c>
      <c r="BS54" s="123">
        <f t="shared" si="31"/>
        <v>1.38312225268747</v>
      </c>
      <c r="BT54" s="74"/>
    </row>
    <row r="55" spans="1:72" ht="12.75">
      <c r="A55" s="28">
        <v>39293</v>
      </c>
      <c r="B55" s="16">
        <v>16.45</v>
      </c>
      <c r="C55" s="1" t="s">
        <v>85</v>
      </c>
      <c r="D55" s="80">
        <v>901386</v>
      </c>
      <c r="E55" s="1"/>
      <c r="F55" s="89">
        <v>0.01671</v>
      </c>
      <c r="G55" s="145">
        <f>G6</f>
        <v>0.002</v>
      </c>
      <c r="H55" s="145">
        <v>0.09326</v>
      </c>
      <c r="I55" s="145">
        <v>2.726</v>
      </c>
      <c r="J55" s="9">
        <v>0.017</v>
      </c>
      <c r="K55" s="9">
        <f>K6</f>
        <v>0.025</v>
      </c>
      <c r="L55" s="9">
        <f>L6</f>
        <v>0.005</v>
      </c>
      <c r="M55" s="145">
        <v>0.2394</v>
      </c>
      <c r="N55" s="145">
        <v>1.145</v>
      </c>
      <c r="O55" s="145">
        <v>0.3955</v>
      </c>
      <c r="P55" s="145">
        <v>3.33</v>
      </c>
      <c r="Q55" s="9">
        <v>0.5503</v>
      </c>
      <c r="R55" s="9">
        <v>3.6</v>
      </c>
      <c r="S55" s="9">
        <v>6.59</v>
      </c>
      <c r="T55" s="9">
        <v>19.6</v>
      </c>
      <c r="U55" s="9">
        <v>25.706</v>
      </c>
      <c r="V55" s="145">
        <f>V6</f>
        <v>0.05</v>
      </c>
      <c r="W55" s="145"/>
      <c r="X55" s="145">
        <f>X6</f>
        <v>0.002</v>
      </c>
      <c r="Y55" s="145">
        <v>0.004076</v>
      </c>
      <c r="Z55" s="4">
        <v>3.343</v>
      </c>
      <c r="AA55" s="4">
        <v>0.1383</v>
      </c>
      <c r="AB55" s="75">
        <v>0.0963</v>
      </c>
      <c r="AE55" s="78">
        <f t="shared" si="1"/>
        <v>0.5967857142857143</v>
      </c>
      <c r="AF55" s="78">
        <f t="shared" si="2"/>
        <v>0.07272727272727272</v>
      </c>
      <c r="AG55" s="78">
        <f t="shared" si="3"/>
        <v>10.36222222222222</v>
      </c>
      <c r="AH55" s="78">
        <f t="shared" si="4"/>
        <v>389.4285714285714</v>
      </c>
      <c r="AI55" s="78">
        <f t="shared" si="5"/>
        <v>1.2142857142857144</v>
      </c>
      <c r="AJ55" s="78">
        <f t="shared" si="6"/>
        <v>1.7857142857142858</v>
      </c>
      <c r="AK55" s="78">
        <f t="shared" si="7"/>
        <v>0.4838709677419355</v>
      </c>
      <c r="AL55" s="78">
        <f t="shared" si="8"/>
        <v>6.138461538461539</v>
      </c>
      <c r="AM55" s="78">
        <f t="shared" si="9"/>
        <v>57.25</v>
      </c>
      <c r="AN55" s="78">
        <f t="shared" si="10"/>
        <v>32.958333333333336</v>
      </c>
      <c r="AO55" s="78">
        <f t="shared" si="11"/>
        <v>144.7826086956522</v>
      </c>
      <c r="AP55" s="78">
        <f t="shared" si="12"/>
        <v>34.39375</v>
      </c>
      <c r="AQ55" s="78">
        <f t="shared" si="13"/>
        <v>102.85714285714286</v>
      </c>
      <c r="AR55" s="68">
        <f t="shared" si="14"/>
        <v>0.25703957827688645</v>
      </c>
      <c r="AS55" s="78">
        <f t="shared" si="15"/>
        <v>4.838709677419355</v>
      </c>
      <c r="AT55" s="78"/>
      <c r="AU55" s="78">
        <f t="shared" si="17"/>
        <v>0.06349206349206349</v>
      </c>
      <c r="AV55" s="78">
        <f t="shared" si="18"/>
        <v>0.1254153846153846</v>
      </c>
      <c r="AW55" s="97">
        <f t="shared" si="33"/>
        <v>9.87857142857143</v>
      </c>
      <c r="AX55" s="68">
        <f t="shared" si="33"/>
        <v>6.878571428571428</v>
      </c>
      <c r="AY55" s="68"/>
      <c r="AZ55" s="68">
        <f t="shared" si="19"/>
        <v>3</v>
      </c>
      <c r="BA55" s="103">
        <f t="shared" si="20"/>
        <v>242.3436892817328</v>
      </c>
      <c r="BB55" s="103">
        <f t="shared" si="21"/>
        <v>139.03660714285715</v>
      </c>
      <c r="BC55" s="27">
        <f t="shared" si="22"/>
        <v>27.087682061021862</v>
      </c>
      <c r="BD55" s="79">
        <f>(('[1]setup'!$B$13*'[1]setup'!$B$14*'[1]setup'!$B$15)/10^(-S55))*10^6</f>
        <v>46.13109926225088</v>
      </c>
      <c r="BE55" s="73">
        <f t="shared" si="23"/>
        <v>32.12921875795648</v>
      </c>
      <c r="BF55" s="74">
        <f t="shared" si="24"/>
        <v>103.30708213887567</v>
      </c>
      <c r="BG55" s="72">
        <f t="shared" si="25"/>
        <v>242.60072886000967</v>
      </c>
      <c r="BH55" s="72">
        <f t="shared" si="26"/>
        <v>217.2969251630645</v>
      </c>
      <c r="BI55" s="75">
        <f t="shared" si="27"/>
        <v>5.50205104887872</v>
      </c>
      <c r="BJ55" s="58"/>
      <c r="BK55" s="92">
        <f>(3*('[1]setup'!$D$19*(10^-S55)^3)+2*('[1]setup'!$D$20*'[1]setup'!$D$19*((10^-S55)^2))+('[1]setup'!$D$21*'[1]setup'!$D$19*10^-S55)+('[1]setup'!$D$19*'[1]setup'!$D$22*(AP55/(10^6*2))*(10^-S55)^3))*10^6</f>
        <v>0.00027322156148363235</v>
      </c>
      <c r="BL55" s="93">
        <f t="shared" si="28"/>
        <v>57.43329567646316</v>
      </c>
      <c r="BM55" s="74">
        <f>(BL55/((('[1]setup'!$C$26)/10^-S55)+2*(('[1]setup'!$C$26*'[1]setup'!$C$27)/(10^-S55^2))+3*(('[1]setup'!$C$26*'[1]setup'!$C$27*'[1]setup'!$C$28)/(10^-S55^3))))/(10^-S55^3/(10^-S55^3+'[1]setup'!$C$26*10^-S55^2+'[1]setup'!$C$26*'[1]setup'!$C$27*10^-S55+'[1]setup'!$C$26*'[1]setup'!$C$27*'[1]setup'!$C$28))</f>
        <v>22.35869718860146</v>
      </c>
      <c r="BN55" s="74"/>
      <c r="BO55" s="123">
        <f t="shared" si="32"/>
        <v>242.34368928173276</v>
      </c>
      <c r="BP55" s="123">
        <f t="shared" si="29"/>
        <v>139.03660714285715</v>
      </c>
      <c r="BQ55" s="123">
        <f t="shared" si="0"/>
        <v>1.7430207357744985</v>
      </c>
      <c r="BR55" s="123">
        <f t="shared" si="30"/>
        <v>102.09279642458992</v>
      </c>
      <c r="BS55" s="123">
        <f t="shared" si="31"/>
        <v>1.407608695652174</v>
      </c>
      <c r="BT55" s="74"/>
    </row>
    <row r="56" spans="1:72" ht="12.75">
      <c r="A56" s="23">
        <v>39329</v>
      </c>
      <c r="B56" s="16">
        <v>13.15</v>
      </c>
      <c r="C56" s="8" t="s">
        <v>85</v>
      </c>
      <c r="D56" s="80">
        <v>903871</v>
      </c>
      <c r="E56" s="1"/>
      <c r="F56" s="89">
        <v>0.009073</v>
      </c>
      <c r="G56" s="145">
        <f>G6</f>
        <v>0.002</v>
      </c>
      <c r="H56" s="145">
        <v>0.04569</v>
      </c>
      <c r="I56" s="145">
        <v>3.213</v>
      </c>
      <c r="J56" s="9">
        <f>J6</f>
        <v>0.01</v>
      </c>
      <c r="K56" s="9">
        <f>K6</f>
        <v>0.025</v>
      </c>
      <c r="L56" s="9">
        <f>L6</f>
        <v>0.005</v>
      </c>
      <c r="M56" s="145">
        <v>0.2652</v>
      </c>
      <c r="N56" s="145">
        <v>1.14</v>
      </c>
      <c r="O56" s="145">
        <v>0.3721</v>
      </c>
      <c r="P56" s="145">
        <v>3.623</v>
      </c>
      <c r="Q56" s="9">
        <v>0.6068</v>
      </c>
      <c r="R56" s="9">
        <v>3.682</v>
      </c>
      <c r="S56" s="4">
        <v>6.81</v>
      </c>
      <c r="T56" s="4">
        <v>20</v>
      </c>
      <c r="U56" s="9">
        <v>27.488</v>
      </c>
      <c r="V56" s="145">
        <f>V6</f>
        <v>0.05</v>
      </c>
      <c r="W56" s="145"/>
      <c r="X56" s="145">
        <f>X6</f>
        <v>0.002</v>
      </c>
      <c r="Y56" s="145">
        <f>Y6</f>
        <v>0.002</v>
      </c>
      <c r="Z56" s="9">
        <v>1.671</v>
      </c>
      <c r="AA56" s="9">
        <f>AA6</f>
        <v>0.01</v>
      </c>
      <c r="AB56" s="75">
        <v>-0.025</v>
      </c>
      <c r="AE56" s="78">
        <f t="shared" si="1"/>
        <v>0.32403571428571426</v>
      </c>
      <c r="AF56" s="78">
        <f t="shared" si="2"/>
        <v>0.07272727272727272</v>
      </c>
      <c r="AG56" s="78">
        <f t="shared" si="3"/>
        <v>5.076666666666667</v>
      </c>
      <c r="AH56" s="78">
        <f t="shared" si="4"/>
        <v>459</v>
      </c>
      <c r="AI56" s="78">
        <f t="shared" si="5"/>
        <v>0.7142857142857143</v>
      </c>
      <c r="AJ56" s="78">
        <f t="shared" si="6"/>
        <v>1.7857142857142858</v>
      </c>
      <c r="AK56" s="78">
        <f t="shared" si="7"/>
        <v>0.4838709677419355</v>
      </c>
      <c r="AL56" s="78">
        <f t="shared" si="8"/>
        <v>6.8</v>
      </c>
      <c r="AM56" s="78">
        <f t="shared" si="9"/>
        <v>56.99999999999999</v>
      </c>
      <c r="AN56" s="78">
        <f t="shared" si="10"/>
        <v>31.008333333333333</v>
      </c>
      <c r="AO56" s="78">
        <f t="shared" si="11"/>
        <v>157.5217391304348</v>
      </c>
      <c r="AP56" s="78">
        <f t="shared" si="12"/>
        <v>37.925</v>
      </c>
      <c r="AQ56" s="78">
        <f t="shared" si="13"/>
        <v>105.2</v>
      </c>
      <c r="AR56" s="68">
        <f t="shared" si="14"/>
        <v>0.15488166189124825</v>
      </c>
      <c r="AS56" s="78">
        <f t="shared" si="15"/>
        <v>4.838709677419355</v>
      </c>
      <c r="AT56" s="78"/>
      <c r="AU56" s="78">
        <f t="shared" si="17"/>
        <v>0.06349206349206349</v>
      </c>
      <c r="AV56" s="78">
        <f t="shared" si="18"/>
        <v>0.061538461538461535</v>
      </c>
      <c r="AW56" s="97">
        <f t="shared" si="33"/>
        <v>0.7142857142857143</v>
      </c>
      <c r="AX56" s="68">
        <f t="shared" si="33"/>
        <v>-1.7857142857142858</v>
      </c>
      <c r="AY56" s="68"/>
      <c r="AZ56" s="68">
        <f t="shared" si="19"/>
        <v>2.5</v>
      </c>
      <c r="BA56" s="103">
        <f t="shared" si="20"/>
        <v>253.04435817805387</v>
      </c>
      <c r="BB56" s="103">
        <f t="shared" si="21"/>
        <v>144.91071428571428</v>
      </c>
      <c r="BC56" s="27">
        <f t="shared" si="22"/>
        <v>27.17232455987469</v>
      </c>
      <c r="BD56" s="79">
        <f>(('[1]setup'!$B$13*'[1]setup'!$B$14*'[1]setup'!$B$15)/10^(-S56))*10^6</f>
        <v>76.55856836133404</v>
      </c>
      <c r="BE56" s="73">
        <f t="shared" si="23"/>
        <v>16.230633617294036</v>
      </c>
      <c r="BF56" s="74">
        <f t="shared" si="24"/>
        <v>108.13364389233959</v>
      </c>
      <c r="BG56" s="72">
        <f t="shared" si="25"/>
        <v>253.1992398399451</v>
      </c>
      <c r="BH56" s="72">
        <f t="shared" si="26"/>
        <v>237.69991626434236</v>
      </c>
      <c r="BI56" s="75">
        <f t="shared" si="27"/>
        <v>3.157333513995701</v>
      </c>
      <c r="BJ56" s="58"/>
      <c r="BK56" s="92">
        <f>(3*('[1]setup'!$D$19*(10^-S56)^3)+2*('[1]setup'!$D$20*'[1]setup'!$D$19*((10^-S56)^2))+('[1]setup'!$D$21*'[1]setup'!$D$19*10^-S56)+('[1]setup'!$D$19*'[1]setup'!$D$22*(AP56/(10^6*2))*(10^-S56)^3))*10^6</f>
        <v>0.0001524603583032924</v>
      </c>
      <c r="BL56" s="93">
        <f t="shared" si="28"/>
        <v>31.730109653255084</v>
      </c>
      <c r="BM56" s="74">
        <f>(BL56/((('[1]setup'!$C$26)/10^-S56)+2*(('[1]setup'!$C$26*'[1]setup'!$C$27)/(10^-S56^2))+3*(('[1]setup'!$C$26*'[1]setup'!$C$27*'[1]setup'!$C$28)/(10^-S56^3))))/(10^-S56^3/(10^-S56^3+'[1]setup'!$C$26*10^-S56^2+'[1]setup'!$C$26*'[1]setup'!$C$27*10^-S56+'[1]setup'!$C$26*'[1]setup'!$C$27*'[1]setup'!$C$28))</f>
        <v>11.801623947373475</v>
      </c>
      <c r="BN56" s="74"/>
      <c r="BO56" s="123">
        <f t="shared" si="32"/>
        <v>253.04435817805384</v>
      </c>
      <c r="BP56" s="123">
        <f t="shared" si="29"/>
        <v>144.91071428571428</v>
      </c>
      <c r="BQ56" s="123">
        <f t="shared" si="0"/>
        <v>1.7462087563735078</v>
      </c>
      <c r="BR56" s="123">
        <f t="shared" si="30"/>
        <v>107.41935817805387</v>
      </c>
      <c r="BS56" s="123">
        <f t="shared" si="31"/>
        <v>1.4973549346999506</v>
      </c>
      <c r="BT56" s="74"/>
    </row>
    <row r="57" spans="1:72" ht="12.75">
      <c r="A57" s="23">
        <v>39349</v>
      </c>
      <c r="B57" s="16">
        <v>19</v>
      </c>
      <c r="C57" s="1" t="s">
        <v>85</v>
      </c>
      <c r="D57" s="1">
        <v>906160</v>
      </c>
      <c r="F57" s="89">
        <v>0.01765</v>
      </c>
      <c r="G57" s="145">
        <f>G6</f>
        <v>0.002</v>
      </c>
      <c r="H57" s="145">
        <v>0.06038</v>
      </c>
      <c r="I57" s="145">
        <v>3.15</v>
      </c>
      <c r="J57" s="9">
        <f>J6</f>
        <v>0.01</v>
      </c>
      <c r="K57" s="4">
        <f>K6</f>
        <v>0.025</v>
      </c>
      <c r="L57" s="9">
        <f>L6</f>
        <v>0.005</v>
      </c>
      <c r="M57" s="145">
        <v>0.2909</v>
      </c>
      <c r="N57" s="145">
        <v>1.244</v>
      </c>
      <c r="O57" s="145">
        <v>0.3979</v>
      </c>
      <c r="P57" s="145">
        <v>3.499</v>
      </c>
      <c r="Q57" s="4">
        <v>0.588548</v>
      </c>
      <c r="R57" s="4">
        <v>4.11749</v>
      </c>
      <c r="S57" s="9">
        <v>6.86</v>
      </c>
      <c r="T57" s="9">
        <v>14.9</v>
      </c>
      <c r="U57" s="9">
        <v>28.397</v>
      </c>
      <c r="V57" s="145">
        <f>V6</f>
        <v>0.05</v>
      </c>
      <c r="W57" s="145"/>
      <c r="X57" s="145">
        <f>X6</f>
        <v>0.002</v>
      </c>
      <c r="Y57" s="145">
        <f>Y6</f>
        <v>0.002</v>
      </c>
      <c r="Z57" s="9">
        <v>2.267</v>
      </c>
      <c r="AA57" s="9">
        <v>0.1156</v>
      </c>
      <c r="AB57" s="75">
        <v>0.08059999999999999</v>
      </c>
      <c r="AE57" s="78">
        <f t="shared" si="1"/>
        <v>0.6303571428571428</v>
      </c>
      <c r="AF57" s="78">
        <f t="shared" si="2"/>
        <v>0.07272727272727272</v>
      </c>
      <c r="AG57" s="78">
        <f t="shared" si="3"/>
        <v>6.70888888888889</v>
      </c>
      <c r="AH57" s="78">
        <f t="shared" si="4"/>
        <v>450</v>
      </c>
      <c r="AI57" s="78">
        <f t="shared" si="5"/>
        <v>0.7142857142857143</v>
      </c>
      <c r="AJ57" s="78">
        <f t="shared" si="6"/>
        <v>1.7857142857142858</v>
      </c>
      <c r="AK57" s="78">
        <f t="shared" si="7"/>
        <v>0.4838709677419355</v>
      </c>
      <c r="AL57" s="78">
        <f t="shared" si="8"/>
        <v>7.458974358974359</v>
      </c>
      <c r="AM57" s="78">
        <f t="shared" si="9"/>
        <v>62.199999999999996</v>
      </c>
      <c r="AN57" s="78">
        <f t="shared" si="10"/>
        <v>33.15833333333333</v>
      </c>
      <c r="AO57" s="78">
        <f t="shared" si="11"/>
        <v>152.13043478260872</v>
      </c>
      <c r="AP57" s="78">
        <f t="shared" si="12"/>
        <v>36.78425</v>
      </c>
      <c r="AQ57" s="78">
        <f t="shared" si="13"/>
        <v>117.64257142857143</v>
      </c>
      <c r="AR57" s="68">
        <f t="shared" si="14"/>
        <v>0.13803842646028835</v>
      </c>
      <c r="AS57" s="78">
        <f t="shared" si="15"/>
        <v>4.838709677419355</v>
      </c>
      <c r="AT57" s="78"/>
      <c r="AU57" s="78">
        <f t="shared" si="17"/>
        <v>0.06349206349206349</v>
      </c>
      <c r="AV57" s="78">
        <f t="shared" si="18"/>
        <v>0.061538461538461535</v>
      </c>
      <c r="AW57" s="97">
        <f t="shared" si="33"/>
        <v>8.257142857142856</v>
      </c>
      <c r="AX57" s="68">
        <f t="shared" si="33"/>
        <v>5.757142857142856</v>
      </c>
      <c r="AY57" s="68"/>
      <c r="AZ57" s="68">
        <f t="shared" si="19"/>
        <v>2.5</v>
      </c>
      <c r="BA57" s="103">
        <f t="shared" si="20"/>
        <v>255.66202818920212</v>
      </c>
      <c r="BB57" s="103">
        <f t="shared" si="21"/>
        <v>156.2125357142857</v>
      </c>
      <c r="BC57" s="27">
        <f t="shared" si="22"/>
        <v>24.145577607997136</v>
      </c>
      <c r="BD57" s="79">
        <f>(('[1]setup'!$B$13*'[1]setup'!$B$14*'[1]setup'!$B$15)/10^(-S57))*10^6</f>
        <v>85.90012653635533</v>
      </c>
      <c r="BE57" s="73">
        <f t="shared" si="23"/>
        <v>22.064153137584793</v>
      </c>
      <c r="BF57" s="74">
        <f t="shared" si="24"/>
        <v>99.44949247491641</v>
      </c>
      <c r="BG57" s="72">
        <f t="shared" si="25"/>
        <v>255.80006661566242</v>
      </c>
      <c r="BH57" s="72">
        <f t="shared" si="26"/>
        <v>264.1768153882258</v>
      </c>
      <c r="BI57" s="75">
        <f t="shared" si="27"/>
        <v>1.6109848461495158</v>
      </c>
      <c r="BJ57" s="58"/>
      <c r="BK57" s="92">
        <f>(3*('[1]setup'!$D$19*(10^-S57)^3)+2*('[1]setup'!$D$20*'[1]setup'!$D$19*((10^-S57)^2))+('[1]setup'!$D$21*'[1]setup'!$D$19*10^-S57)+('[1]setup'!$D$19*'[1]setup'!$D$22*(AP57/(10^6*2))*(10^-S57)^3))*10^6</f>
        <v>0.00013417493554145144</v>
      </c>
      <c r="BL57" s="93">
        <f t="shared" si="28"/>
        <v>13.687538539956904</v>
      </c>
      <c r="BM57" s="74">
        <f>(BL57/((('[1]setup'!$C$26)/10^-S57)+2*(('[1]setup'!$C$26*'[1]setup'!$C$27)/(10^-S57^2))+3*(('[1]setup'!$C$26*'[1]setup'!$C$27*'[1]setup'!$C$28)/(10^-S57^3))))/(10^-S57^3/(10^-S57^3+'[1]setup'!$C$26*10^-S57^2+'[1]setup'!$C$26*'[1]setup'!$C$27*10^-S57+'[1]setup'!$C$26*'[1]setup'!$C$27*'[1]setup'!$C$28))</f>
        <v>5.045030795594593</v>
      </c>
      <c r="BN57" s="74"/>
      <c r="BO57" s="123">
        <f t="shared" si="32"/>
        <v>255.66202818920212</v>
      </c>
      <c r="BP57" s="123">
        <f t="shared" si="29"/>
        <v>156.2125357142857</v>
      </c>
      <c r="BQ57" s="123">
        <f t="shared" si="0"/>
        <v>1.6366293973795454</v>
      </c>
      <c r="BR57" s="123">
        <f t="shared" si="30"/>
        <v>98.73520676063069</v>
      </c>
      <c r="BS57" s="123">
        <f t="shared" si="31"/>
        <v>1.2931580203938091</v>
      </c>
      <c r="BT57" s="74"/>
    </row>
    <row r="58" spans="1:72" ht="12.75">
      <c r="A58" s="23">
        <v>39364</v>
      </c>
      <c r="B58" s="16">
        <v>12.35</v>
      </c>
      <c r="C58" s="8" t="s">
        <v>85</v>
      </c>
      <c r="D58" s="1">
        <v>907152</v>
      </c>
      <c r="E58" s="80"/>
      <c r="F58" s="89">
        <v>0.01162</v>
      </c>
      <c r="G58" s="145">
        <f>G6</f>
        <v>0.002</v>
      </c>
      <c r="H58" s="145">
        <v>0.05039</v>
      </c>
      <c r="I58" s="145">
        <v>3.459</v>
      </c>
      <c r="J58" s="9">
        <v>0.024</v>
      </c>
      <c r="K58" s="9">
        <f>K6</f>
        <v>0.025</v>
      </c>
      <c r="L58" s="9">
        <v>0.005</v>
      </c>
      <c r="M58" s="145">
        <v>0.286</v>
      </c>
      <c r="N58" s="145">
        <v>1.554</v>
      </c>
      <c r="O58" s="145">
        <v>0.5338</v>
      </c>
      <c r="P58" s="145">
        <v>3.771</v>
      </c>
      <c r="Q58" s="9">
        <v>0.65416</v>
      </c>
      <c r="R58" s="9">
        <v>4.14666</v>
      </c>
      <c r="S58" s="9">
        <v>6.73</v>
      </c>
      <c r="T58" s="9">
        <v>14.7</v>
      </c>
      <c r="U58" s="128">
        <v>28.335</v>
      </c>
      <c r="V58" s="145">
        <f>V6</f>
        <v>0.05</v>
      </c>
      <c r="W58" s="145"/>
      <c r="X58" s="145">
        <f>X6</f>
        <v>0.002</v>
      </c>
      <c r="Y58" s="145">
        <v>0.006309</v>
      </c>
      <c r="Z58" s="9">
        <v>1.523</v>
      </c>
      <c r="AA58" s="9">
        <f>AA6</f>
        <v>0.01</v>
      </c>
      <c r="AB58" s="75">
        <v>-0.039</v>
      </c>
      <c r="AE58" s="78">
        <f t="shared" si="1"/>
        <v>0.415</v>
      </c>
      <c r="AF58" s="78">
        <f t="shared" si="2"/>
        <v>0.07272727272727272</v>
      </c>
      <c r="AG58" s="78">
        <f t="shared" si="3"/>
        <v>5.598888888888888</v>
      </c>
      <c r="AH58" s="78">
        <f t="shared" si="4"/>
        <v>494.14285714285717</v>
      </c>
      <c r="AI58" s="78">
        <f t="shared" si="5"/>
        <v>1.7142857142857144</v>
      </c>
      <c r="AJ58" s="78">
        <f t="shared" si="6"/>
        <v>1.7857142857142858</v>
      </c>
      <c r="AK58" s="78">
        <f t="shared" si="7"/>
        <v>0.4838709677419355</v>
      </c>
      <c r="AL58" s="78">
        <f t="shared" si="8"/>
        <v>7.333333333333332</v>
      </c>
      <c r="AM58" s="78">
        <f t="shared" si="9"/>
        <v>77.7</v>
      </c>
      <c r="AN58" s="78">
        <f t="shared" si="10"/>
        <v>44.48333333333334</v>
      </c>
      <c r="AO58" s="78">
        <f t="shared" si="11"/>
        <v>163.9565217391304</v>
      </c>
      <c r="AP58" s="78">
        <f t="shared" si="12"/>
        <v>40.885</v>
      </c>
      <c r="AQ58" s="78">
        <f t="shared" si="13"/>
        <v>118.476</v>
      </c>
      <c r="AR58" s="68">
        <f t="shared" si="14"/>
        <v>0.18620871366628652</v>
      </c>
      <c r="AS58" s="78">
        <f t="shared" si="15"/>
        <v>4.838709677419355</v>
      </c>
      <c r="AT58" s="78"/>
      <c r="AU58" s="78">
        <f t="shared" si="17"/>
        <v>0.06349206349206349</v>
      </c>
      <c r="AV58" s="78">
        <f t="shared" si="18"/>
        <v>0.19412307692307695</v>
      </c>
      <c r="AW58" s="97">
        <f t="shared" si="33"/>
        <v>0.7142857142857143</v>
      </c>
      <c r="AX58" s="68">
        <f t="shared" si="33"/>
        <v>-2.785714285714286</v>
      </c>
      <c r="AY58" s="68"/>
      <c r="AZ58" s="68">
        <f t="shared" si="19"/>
        <v>3.5</v>
      </c>
      <c r="BA58" s="103">
        <f t="shared" si="20"/>
        <v>295.1874741200828</v>
      </c>
      <c r="BB58" s="103">
        <f t="shared" si="21"/>
        <v>161.14671428571427</v>
      </c>
      <c r="BC58" s="27">
        <f t="shared" si="22"/>
        <v>29.373376626160702</v>
      </c>
      <c r="BD58" s="79">
        <f>(('[1]setup'!$B$13*'[1]setup'!$B$14*'[1]setup'!$B$15)/10^(-S58))*10^6</f>
        <v>63.67864353044501</v>
      </c>
      <c r="BE58" s="73">
        <f t="shared" si="23"/>
        <v>14.741223376212927</v>
      </c>
      <c r="BF58" s="74">
        <f t="shared" si="24"/>
        <v>134.04075983436854</v>
      </c>
      <c r="BG58" s="72">
        <f t="shared" si="25"/>
        <v>295.3736828337491</v>
      </c>
      <c r="BH58" s="72">
        <f t="shared" si="26"/>
        <v>239.5665811923722</v>
      </c>
      <c r="BI58" s="75">
        <f t="shared" si="27"/>
        <v>10.43239879184937</v>
      </c>
      <c r="BJ58" s="58"/>
      <c r="BK58" s="92">
        <f>(3*('[1]setup'!$D$19*(10^-S58)^3)+2*('[1]setup'!$D$20*'[1]setup'!$D$19*((10^-S58)^2))+('[1]setup'!$D$21*'[1]setup'!$D$19*10^-S58)+('[1]setup'!$D$19*'[1]setup'!$D$22*(AP58/(10^6*2))*(10^-S58)^3))*10^6</f>
        <v>0.00018766192719144148</v>
      </c>
      <c r="BL58" s="93">
        <f t="shared" si="28"/>
        <v>70.54851267951705</v>
      </c>
      <c r="BM58" s="74">
        <f>(BL58/((('[1]setup'!$C$26)/10^-S58)+2*(('[1]setup'!$C$26*'[1]setup'!$C$27)/(10^-S58^2))+3*(('[1]setup'!$C$26*'[1]setup'!$C$27*'[1]setup'!$C$28)/(10^-S58^3))))/(10^-S58^3/(10^-S58^3+'[1]setup'!$C$26*10^-S58^2+'[1]setup'!$C$26*'[1]setup'!$C$27*10^-S58+'[1]setup'!$C$26*'[1]setup'!$C$27*'[1]setup'!$C$28))</f>
        <v>26.65088584170592</v>
      </c>
      <c r="BN58" s="74"/>
      <c r="BO58" s="123">
        <f t="shared" si="32"/>
        <v>295.1874741200828</v>
      </c>
      <c r="BP58" s="123">
        <f t="shared" si="29"/>
        <v>161.14671428571427</v>
      </c>
      <c r="BQ58" s="123">
        <f t="shared" si="0"/>
        <v>1.8317933159761068</v>
      </c>
      <c r="BR58" s="123">
        <f t="shared" si="30"/>
        <v>132.32647412008282</v>
      </c>
      <c r="BS58" s="123">
        <f t="shared" si="31"/>
        <v>1.3838796189872244</v>
      </c>
      <c r="BT58" s="74"/>
    </row>
    <row r="59" spans="1:72" ht="12.75">
      <c r="A59" s="23">
        <v>39428</v>
      </c>
      <c r="B59" s="16">
        <v>14</v>
      </c>
      <c r="C59" s="1" t="s">
        <v>85</v>
      </c>
      <c r="D59" s="80">
        <v>913921</v>
      </c>
      <c r="F59" s="89">
        <v>0.01638</v>
      </c>
      <c r="G59" s="145">
        <f>G6</f>
        <v>0.002</v>
      </c>
      <c r="H59" s="145">
        <v>0.08531</v>
      </c>
      <c r="I59" s="145">
        <v>2.852</v>
      </c>
      <c r="J59" s="4">
        <v>0.014</v>
      </c>
      <c r="K59" s="9">
        <v>0.05067</v>
      </c>
      <c r="L59" s="4">
        <v>0.007</v>
      </c>
      <c r="M59" s="145">
        <v>0.2915</v>
      </c>
      <c r="N59" s="145">
        <v>0.9791</v>
      </c>
      <c r="O59" s="145">
        <v>0.3777</v>
      </c>
      <c r="P59" s="145">
        <v>3.177</v>
      </c>
      <c r="Q59" s="9">
        <v>0.6042</v>
      </c>
      <c r="R59" s="9">
        <v>3.713</v>
      </c>
      <c r="S59" s="9">
        <v>6.33</v>
      </c>
      <c r="T59" s="9">
        <v>13.8</v>
      </c>
      <c r="U59" s="9">
        <v>23.924</v>
      </c>
      <c r="V59" s="145">
        <f>V6</f>
        <v>0.05</v>
      </c>
      <c r="W59" s="145"/>
      <c r="X59" s="145">
        <f>X6</f>
        <v>0.002</v>
      </c>
      <c r="Y59" s="145">
        <v>0.00264</v>
      </c>
      <c r="Z59" s="9">
        <v>2.71</v>
      </c>
      <c r="AA59" s="9">
        <v>0.1402</v>
      </c>
      <c r="AB59" s="75">
        <v>0.07552999999999999</v>
      </c>
      <c r="AE59" s="78">
        <f t="shared" si="1"/>
        <v>0.5849999999999999</v>
      </c>
      <c r="AF59" s="78">
        <f t="shared" si="2"/>
        <v>0.07272727272727272</v>
      </c>
      <c r="AG59" s="78">
        <f t="shared" si="3"/>
        <v>9.478888888888887</v>
      </c>
      <c r="AH59" s="78">
        <f t="shared" si="4"/>
        <v>407.42857142857144</v>
      </c>
      <c r="AI59" s="78">
        <f t="shared" si="5"/>
        <v>1</v>
      </c>
      <c r="AJ59" s="78">
        <f t="shared" si="6"/>
        <v>3.619285714285714</v>
      </c>
      <c r="AK59" s="78">
        <f t="shared" si="7"/>
        <v>0.6774193548387097</v>
      </c>
      <c r="AL59" s="78">
        <f t="shared" si="8"/>
        <v>7.4743589743589745</v>
      </c>
      <c r="AM59" s="78">
        <f t="shared" si="9"/>
        <v>48.955</v>
      </c>
      <c r="AN59" s="78">
        <f t="shared" si="10"/>
        <v>31.474999999999994</v>
      </c>
      <c r="AO59" s="78">
        <f t="shared" si="11"/>
        <v>138.1304347826087</v>
      </c>
      <c r="AP59" s="78">
        <f t="shared" si="12"/>
        <v>37.762499999999996</v>
      </c>
      <c r="AQ59" s="78">
        <f t="shared" si="13"/>
        <v>106.08571428571429</v>
      </c>
      <c r="AR59" s="68">
        <f t="shared" si="14"/>
        <v>0.46773514128719806</v>
      </c>
      <c r="AS59" s="78">
        <f t="shared" si="15"/>
        <v>4.838709677419355</v>
      </c>
      <c r="AT59" s="78"/>
      <c r="AU59" s="78">
        <f t="shared" si="17"/>
        <v>0.06349206349206349</v>
      </c>
      <c r="AV59" s="78">
        <f t="shared" si="18"/>
        <v>0.08123076923076923</v>
      </c>
      <c r="AW59" s="97">
        <f t="shared" si="33"/>
        <v>10.014285714285714</v>
      </c>
      <c r="AX59" s="68">
        <f t="shared" si="33"/>
        <v>5.394999999999999</v>
      </c>
      <c r="AY59" s="68"/>
      <c r="AZ59" s="68">
        <f t="shared" si="19"/>
        <v>4.619285714285715</v>
      </c>
      <c r="BA59" s="103">
        <f t="shared" si="20"/>
        <v>227.03479375696764</v>
      </c>
      <c r="BB59" s="103">
        <f t="shared" si="21"/>
        <v>147.4675</v>
      </c>
      <c r="BC59" s="27">
        <f t="shared" si="22"/>
        <v>21.246143236869635</v>
      </c>
      <c r="BD59" s="79">
        <f>(('[1]setup'!$B$13*'[1]setup'!$B$14*'[1]setup'!$B$15)/10^(-S59))*10^6</f>
        <v>25.35092460059019</v>
      </c>
      <c r="BE59" s="73">
        <f t="shared" si="23"/>
        <v>25.611502993786505</v>
      </c>
      <c r="BF59" s="74">
        <f t="shared" si="24"/>
        <v>79.56729375696767</v>
      </c>
      <c r="BG59" s="72">
        <f t="shared" si="25"/>
        <v>227.50252889825487</v>
      </c>
      <c r="BH59" s="72">
        <f t="shared" si="26"/>
        <v>198.4299275943767</v>
      </c>
      <c r="BI59" s="75">
        <f t="shared" si="27"/>
        <v>6.825636520700582</v>
      </c>
      <c r="BJ59" s="58"/>
      <c r="BK59" s="92">
        <f>(3*('[1]setup'!$D$19*(10^-S59)^3)+2*('[1]setup'!$D$20*'[1]setup'!$D$19*((10^-S59)^2))+('[1]setup'!$D$21*'[1]setup'!$D$19*10^-S59)+('[1]setup'!$D$19*'[1]setup'!$D$22*(AP59/(10^6*2))*(10^-S59)^3))*10^6</f>
        <v>0.0005823054891778715</v>
      </c>
      <c r="BL59" s="93">
        <f t="shared" si="28"/>
        <v>54.684686603153864</v>
      </c>
      <c r="BM59" s="74">
        <f>(BL59/((('[1]setup'!$C$26)/10^-S59)+2*(('[1]setup'!$C$26*'[1]setup'!$C$27)/(10^-S59^2))+3*(('[1]setup'!$C$26*'[1]setup'!$C$27*'[1]setup'!$C$28)/(10^-S59^3))))/(10^-S59^3/(10^-S59^3+'[1]setup'!$C$26*10^-S59^2+'[1]setup'!$C$26*'[1]setup'!$C$27*10^-S59+'[1]setup'!$C$26*'[1]setup'!$C$27*'[1]setup'!$C$28))</f>
        <v>22.65855448250021</v>
      </c>
      <c r="BN59" s="74"/>
      <c r="BO59" s="123">
        <f t="shared" si="32"/>
        <v>227.03479375696764</v>
      </c>
      <c r="BP59" s="123">
        <f t="shared" si="29"/>
        <v>147.4675</v>
      </c>
      <c r="BQ59" s="123">
        <f t="shared" si="0"/>
        <v>1.5395581654057175</v>
      </c>
      <c r="BR59" s="123">
        <f t="shared" si="30"/>
        <v>78.56729375696764</v>
      </c>
      <c r="BS59" s="123">
        <f t="shared" si="31"/>
        <v>1.3020644269839223</v>
      </c>
      <c r="BT59" s="74"/>
    </row>
    <row r="60" spans="1:71" ht="12.75">
      <c r="A60" s="124">
        <v>39497</v>
      </c>
      <c r="B60" s="16">
        <v>14.3</v>
      </c>
      <c r="C60" s="1" t="s">
        <v>85</v>
      </c>
      <c r="D60" s="127">
        <v>922893</v>
      </c>
      <c r="E60" s="22"/>
      <c r="F60" s="90">
        <v>0.006</v>
      </c>
      <c r="G60" s="145">
        <v>0.002</v>
      </c>
      <c r="H60" s="145">
        <v>0.02369</v>
      </c>
      <c r="I60" s="145">
        <v>3.263</v>
      </c>
      <c r="J60" s="9">
        <v>0.01</v>
      </c>
      <c r="K60" s="85">
        <v>0.05518</v>
      </c>
      <c r="L60" s="9">
        <v>0.005</v>
      </c>
      <c r="M60" s="145">
        <v>0.3312</v>
      </c>
      <c r="N60" s="145">
        <v>0.9641</v>
      </c>
      <c r="O60" s="145">
        <v>0.3135</v>
      </c>
      <c r="P60" s="145">
        <v>3.033</v>
      </c>
      <c r="Q60" s="85">
        <v>0.6788</v>
      </c>
      <c r="R60" s="85">
        <v>4.112</v>
      </c>
      <c r="S60" s="128">
        <v>6.6</v>
      </c>
      <c r="T60" s="128">
        <v>17.1</v>
      </c>
      <c r="U60" s="128">
        <v>28.189</v>
      </c>
      <c r="V60" s="145">
        <v>0.05</v>
      </c>
      <c r="W60" s="145"/>
      <c r="X60" s="145">
        <v>0.002</v>
      </c>
      <c r="Y60" s="145">
        <v>0.002</v>
      </c>
      <c r="Z60" s="9">
        <v>1.461</v>
      </c>
      <c r="AA60" s="9">
        <v>0.2144</v>
      </c>
      <c r="AB60" s="75">
        <v>0.14922000000000002</v>
      </c>
      <c r="AE60" s="78">
        <f t="shared" si="1"/>
        <v>0.2142857142857143</v>
      </c>
      <c r="AF60" s="78">
        <f t="shared" si="2"/>
        <v>0.07272727272727272</v>
      </c>
      <c r="AG60" s="78">
        <f t="shared" si="3"/>
        <v>2.632222222222222</v>
      </c>
      <c r="AH60" s="78">
        <f t="shared" si="4"/>
        <v>466.1428571428571</v>
      </c>
      <c r="AI60" s="78">
        <f t="shared" si="5"/>
        <v>0.7142857142857143</v>
      </c>
      <c r="AJ60" s="78">
        <f t="shared" si="6"/>
        <v>3.9414285714285713</v>
      </c>
      <c r="AK60" s="78">
        <f t="shared" si="7"/>
        <v>0.4838709677419355</v>
      </c>
      <c r="AL60" s="78">
        <f t="shared" si="8"/>
        <v>8.49230769230769</v>
      </c>
      <c r="AM60" s="78">
        <f t="shared" si="9"/>
        <v>48.205</v>
      </c>
      <c r="AN60" s="78">
        <f t="shared" si="10"/>
        <v>26.125</v>
      </c>
      <c r="AO60" s="78">
        <f t="shared" si="11"/>
        <v>131.86956521739128</v>
      </c>
      <c r="AP60" s="78">
        <f t="shared" si="12"/>
        <v>42.425</v>
      </c>
      <c r="AQ60" s="78">
        <f t="shared" si="13"/>
        <v>117.4857142857143</v>
      </c>
      <c r="AR60" s="68">
        <f aca="true" t="shared" si="34" ref="AR60:AR105">SUM(10^(6-S60))</f>
        <v>0.2511886431509582</v>
      </c>
      <c r="AS60" s="78">
        <f t="shared" si="15"/>
        <v>4.838709677419355</v>
      </c>
      <c r="AT60" s="78"/>
      <c r="AU60" s="78">
        <f t="shared" si="17"/>
        <v>0.06349206349206349</v>
      </c>
      <c r="AV60" s="78">
        <f t="shared" si="18"/>
        <v>0.061538461538461535</v>
      </c>
      <c r="AW60" s="97">
        <f aca="true" t="shared" si="35" ref="AW60:AW105">AA60/14*1*1000</f>
        <v>15.314285714285715</v>
      </c>
      <c r="AX60" s="68">
        <f aca="true" t="shared" si="36" ref="AX60:AX105">AB60/14*1*1000</f>
        <v>10.658571428571431</v>
      </c>
      <c r="AY60" s="68"/>
      <c r="AZ60" s="68">
        <f aca="true" t="shared" si="37" ref="AZ60:AZ105">AI60+AJ60</f>
        <v>4.655714285714286</v>
      </c>
      <c r="BA60" s="103">
        <f aca="true" t="shared" si="38" ref="BA60:BA105">AL60+AM60+AN60+AO60+AI60</f>
        <v>215.4061586239847</v>
      </c>
      <c r="BB60" s="103">
        <f aca="true" t="shared" si="39" ref="BB60:BB105">AJ60+AP60+AQ60</f>
        <v>163.85214285714287</v>
      </c>
      <c r="BC60" s="27">
        <f aca="true" t="shared" si="40" ref="BC60:BC105">ABS(BA60-BB60)/(BA60+BB60)*100</f>
        <v>13.593378329625633</v>
      </c>
      <c r="BD60" s="79">
        <f>(('[1]setup'!$B$13*'[1]setup'!$B$14*'[1]setup'!$B$15)/10^(-S60))*10^6</f>
        <v>47.205630601269185</v>
      </c>
      <c r="BE60" s="73">
        <f aca="true" t="shared" si="41" ref="BE60:BE105">((10^-(0.96+0.9*S60-0.039*S60^2))*Z60*10)/((10^-(0.96+0.9*S60-0.039*S60^2))+10^(-S60))</f>
        <v>14.049195542110622</v>
      </c>
      <c r="BF60" s="74">
        <f aca="true" t="shared" si="42" ref="BF60:BF105">(AM60+AN60+AO60+AL60+AI60)-(AP60+AQ60+AJ60)</f>
        <v>51.55401576684187</v>
      </c>
      <c r="BG60" s="72">
        <f aca="true" t="shared" si="43" ref="BG60:BG105">(AM60+AN60+AO60+AL60+AI60)+((10^-S60)*10^6)</f>
        <v>215.65734726713566</v>
      </c>
      <c r="BH60" s="72">
        <f aca="true" t="shared" si="44" ref="BH60:BH105">(AP60+AQ60+AJ60+BE60+BD60)</f>
        <v>225.10696900052264</v>
      </c>
      <c r="BI60" s="75">
        <f aca="true" t="shared" si="45" ref="BI60:BI105">ABS(BG60-BH60)/(BG60+BH60)*100</f>
        <v>2.143917142250827</v>
      </c>
      <c r="BJ60" s="58"/>
      <c r="BK60" s="92">
        <f>(3*('[1]setup'!$D$19*(10^-S60)^3)+2*('[1]setup'!$D$20*'[1]setup'!$D$19*((10^-S60)^2))+('[1]setup'!$D$21*'[1]setup'!$D$19*10^-S60)+('[1]setup'!$D$19*'[1]setup'!$D$22*(AP60/(10^6*2))*(10^-S60)^3))*10^6</f>
        <v>0.0002658342427155796</v>
      </c>
      <c r="BL60" s="93">
        <f aca="true" t="shared" si="46" ref="BL60:BL105">(AM60+AN60+AO60+AL60+AI60+(10^-S60)*10^6+BK60)-(AP60+AQ60+AJ60+BD60)</f>
        <v>4.599839642966373</v>
      </c>
      <c r="BM60" s="74">
        <f>(BL60/((('[1]setup'!$C$26)/10^-S60)+2*(('[1]setup'!$C$26*'[1]setup'!$C$27)/(10^-S60^2))+3*(('[1]setup'!$C$26*'[1]setup'!$C$27*'[1]setup'!$C$28)/(10^-S60^3))))/(10^-S60^3/(10^-S60^3+'[1]setup'!$C$26*10^-S60^2+'[1]setup'!$C$26*'[1]setup'!$C$27*10^-S60+'[1]setup'!$C$26*'[1]setup'!$C$27*'[1]setup'!$C$28))</f>
        <v>1.7866779753692417</v>
      </c>
      <c r="BN60" s="74"/>
      <c r="BO60" s="123">
        <f aca="true" t="shared" si="47" ref="BO60:BO105">AI60+AL60+AM60+AN60+AO60</f>
        <v>215.40615862398468</v>
      </c>
      <c r="BP60" s="123">
        <f aca="true" t="shared" si="48" ref="BP60:BP105">AJ60+AP60+AQ60</f>
        <v>163.85214285714287</v>
      </c>
      <c r="BQ60" s="123">
        <f aca="true" t="shared" si="49" ref="BQ60:BQ105">BO60/BP60</f>
        <v>1.3146374216893215</v>
      </c>
      <c r="BR60" s="123">
        <f aca="true" t="shared" si="50" ref="BR60:BR105">(AL60+AM60+AN60+AO60)-(AJ60+AP60+AQ60)</f>
        <v>50.83973005255612</v>
      </c>
      <c r="BS60" s="123">
        <f aca="true" t="shared" si="51" ref="BS60:BS105">AO60/AQ60</f>
        <v>1.1224306377939433</v>
      </c>
    </row>
    <row r="61" spans="1:71" ht="12.75">
      <c r="A61" s="124">
        <v>39510</v>
      </c>
      <c r="B61" s="16">
        <v>17</v>
      </c>
      <c r="C61" s="1" t="s">
        <v>85</v>
      </c>
      <c r="D61" s="111">
        <v>925477</v>
      </c>
      <c r="E61" s="22"/>
      <c r="F61" s="89">
        <v>0.006067</v>
      </c>
      <c r="G61" s="145">
        <v>0.002</v>
      </c>
      <c r="H61" s="145">
        <v>0.06509</v>
      </c>
      <c r="I61" s="145">
        <v>2.5</v>
      </c>
      <c r="J61" s="9">
        <v>0.01</v>
      </c>
      <c r="K61" s="85">
        <v>0.02953</v>
      </c>
      <c r="L61" s="9">
        <v>0.005</v>
      </c>
      <c r="M61" s="145">
        <v>0.2984</v>
      </c>
      <c r="N61" s="145">
        <v>0.72</v>
      </c>
      <c r="O61" s="145">
        <v>0.3161</v>
      </c>
      <c r="P61" s="145">
        <v>2.999</v>
      </c>
      <c r="Q61" s="85">
        <v>0.5821</v>
      </c>
      <c r="R61" s="85">
        <v>4.757</v>
      </c>
      <c r="S61" s="9">
        <v>6.4</v>
      </c>
      <c r="T61" s="9">
        <v>17.6</v>
      </c>
      <c r="U61" s="9">
        <v>26.551</v>
      </c>
      <c r="V61" s="145">
        <v>0.05</v>
      </c>
      <c r="W61" s="145"/>
      <c r="X61" s="145">
        <v>0.002</v>
      </c>
      <c r="Y61" s="145">
        <v>0.002</v>
      </c>
      <c r="Z61" s="9">
        <v>2.568</v>
      </c>
      <c r="AA61" s="9">
        <v>0.1076</v>
      </c>
      <c r="AB61" s="75">
        <v>0.06806999999999999</v>
      </c>
      <c r="AE61" s="78">
        <f t="shared" si="1"/>
        <v>0.21667857142857144</v>
      </c>
      <c r="AF61" s="78">
        <f t="shared" si="2"/>
        <v>0.07272727272727272</v>
      </c>
      <c r="AG61" s="78">
        <f t="shared" si="3"/>
        <v>7.232222222222221</v>
      </c>
      <c r="AH61" s="78">
        <f t="shared" si="4"/>
        <v>357.14285714285717</v>
      </c>
      <c r="AI61" s="78">
        <f t="shared" si="5"/>
        <v>0.7142857142857143</v>
      </c>
      <c r="AJ61" s="78">
        <f t="shared" si="6"/>
        <v>2.109285714285714</v>
      </c>
      <c r="AK61" s="78">
        <f t="shared" si="7"/>
        <v>0.4838709677419355</v>
      </c>
      <c r="AL61" s="78">
        <f t="shared" si="8"/>
        <v>7.651282051282052</v>
      </c>
      <c r="AM61" s="78">
        <f t="shared" si="9"/>
        <v>36</v>
      </c>
      <c r="AN61" s="78">
        <f t="shared" si="10"/>
        <v>26.341666666666665</v>
      </c>
      <c r="AO61" s="78">
        <f t="shared" si="11"/>
        <v>130.3913043478261</v>
      </c>
      <c r="AP61" s="78">
        <f t="shared" si="12"/>
        <v>36.381249999999994</v>
      </c>
      <c r="AQ61" s="78">
        <f t="shared" si="13"/>
        <v>135.9142857142857</v>
      </c>
      <c r="AR61" s="68">
        <f t="shared" si="34"/>
        <v>0.39810717055349687</v>
      </c>
      <c r="AS61" s="78">
        <f t="shared" si="15"/>
        <v>4.838709677419355</v>
      </c>
      <c r="AT61" s="78"/>
      <c r="AU61" s="78">
        <f t="shared" si="17"/>
        <v>0.06349206349206349</v>
      </c>
      <c r="AV61" s="78">
        <f t="shared" si="18"/>
        <v>0.061538461538461535</v>
      </c>
      <c r="AW61" s="97">
        <f t="shared" si="35"/>
        <v>7.685714285714286</v>
      </c>
      <c r="AX61" s="68">
        <f t="shared" si="36"/>
        <v>4.862142857142857</v>
      </c>
      <c r="AY61" s="68"/>
      <c r="AZ61" s="68">
        <f t="shared" si="37"/>
        <v>2.8235714285714284</v>
      </c>
      <c r="BA61" s="103">
        <f t="shared" si="38"/>
        <v>201.09853878006055</v>
      </c>
      <c r="BB61" s="103">
        <f t="shared" si="39"/>
        <v>174.4048214285714</v>
      </c>
      <c r="BC61" s="27">
        <f t="shared" si="40"/>
        <v>7.108782551681547</v>
      </c>
      <c r="BD61" s="79">
        <f>(('[1]setup'!$B$13*'[1]setup'!$B$14*'[1]setup'!$B$15)/10^(-S61))*10^6</f>
        <v>29.784739328689806</v>
      </c>
      <c r="BE61" s="73">
        <f t="shared" si="41"/>
        <v>24.3923054719854</v>
      </c>
      <c r="BF61" s="74">
        <f t="shared" si="42"/>
        <v>26.693717351489113</v>
      </c>
      <c r="BG61" s="72">
        <f t="shared" si="43"/>
        <v>201.496645950614</v>
      </c>
      <c r="BH61" s="72">
        <f t="shared" si="44"/>
        <v>228.5818662292466</v>
      </c>
      <c r="BI61" s="75">
        <f t="shared" si="45"/>
        <v>6.297738555072345</v>
      </c>
      <c r="BJ61" s="58"/>
      <c r="BK61" s="92">
        <f>(3*('[1]setup'!$D$19*(10^-S61)^3)+2*('[1]setup'!$D$20*'[1]setup'!$D$19*((10^-S61)^2))+('[1]setup'!$D$21*'[1]setup'!$D$19*10^-S61)+('[1]setup'!$D$19*'[1]setup'!$D$22*(AP61/(10^6*2))*(10^-S61)^3))*10^6</f>
        <v>0.0004704976292959921</v>
      </c>
      <c r="BL61" s="93">
        <f t="shared" si="46"/>
        <v>-2.692444309017901</v>
      </c>
      <c r="BM61" s="74">
        <f>(BL61/((('[1]setup'!$C$26)/10^-S61)+2*(('[1]setup'!$C$26*'[1]setup'!$C$27)/(10^-S61^2))+3*(('[1]setup'!$C$26*'[1]setup'!$C$27*'[1]setup'!$C$28)/(10^-S61^3))))/(10^-S61^3/(10^-S61^3+'[1]setup'!$C$26*10^-S61^2+'[1]setup'!$C$26*'[1]setup'!$C$27*10^-S61+'[1]setup'!$C$26*'[1]setup'!$C$27*'[1]setup'!$C$28))</f>
        <v>-1.096501173237276</v>
      </c>
      <c r="BN61" s="74"/>
      <c r="BO61" s="123">
        <f t="shared" si="47"/>
        <v>201.09853878006052</v>
      </c>
      <c r="BP61" s="123">
        <f t="shared" si="48"/>
        <v>174.4048214285714</v>
      </c>
      <c r="BQ61" s="123">
        <f t="shared" si="49"/>
        <v>1.153056074555953</v>
      </c>
      <c r="BR61" s="123">
        <f t="shared" si="50"/>
        <v>25.97943163720342</v>
      </c>
      <c r="BS61" s="123">
        <f t="shared" si="51"/>
        <v>0.9593642321156008</v>
      </c>
    </row>
    <row r="62" spans="1:143" s="119" customFormat="1" ht="12.75">
      <c r="A62" s="124">
        <v>39524</v>
      </c>
      <c r="B62" s="72">
        <v>17.15</v>
      </c>
      <c r="C62" s="1" t="s">
        <v>85</v>
      </c>
      <c r="D62" s="111">
        <v>928087</v>
      </c>
      <c r="E62"/>
      <c r="F62" s="89">
        <v>0.007049</v>
      </c>
      <c r="G62" s="145">
        <v>0.002</v>
      </c>
      <c r="H62" s="145">
        <v>0.07799</v>
      </c>
      <c r="I62" s="145">
        <v>2.429</v>
      </c>
      <c r="J62" s="9">
        <v>0.01</v>
      </c>
      <c r="K62" s="85">
        <v>0.05457</v>
      </c>
      <c r="L62" s="9">
        <v>0.005</v>
      </c>
      <c r="M62" s="145">
        <v>0.2672</v>
      </c>
      <c r="N62" s="145">
        <v>0.715</v>
      </c>
      <c r="O62" s="145">
        <v>0.2892</v>
      </c>
      <c r="P62" s="145">
        <v>3.018</v>
      </c>
      <c r="Q62" s="9">
        <v>0.5275</v>
      </c>
      <c r="R62" s="85">
        <v>4.09</v>
      </c>
      <c r="S62" s="128">
        <v>6.29</v>
      </c>
      <c r="T62" s="128">
        <v>11.3</v>
      </c>
      <c r="U62" s="128">
        <v>23.475</v>
      </c>
      <c r="V62" s="145">
        <v>0.05</v>
      </c>
      <c r="W62" s="145"/>
      <c r="X62" s="145">
        <v>0.002</v>
      </c>
      <c r="Y62" s="145">
        <v>0.002</v>
      </c>
      <c r="Z62" s="9">
        <v>2.88</v>
      </c>
      <c r="AA62" s="9">
        <v>0.1038</v>
      </c>
      <c r="AB62" s="75">
        <v>0.03923</v>
      </c>
      <c r="AC62" s="1"/>
      <c r="AD62" s="1"/>
      <c r="AE62" s="78">
        <f t="shared" si="1"/>
        <v>0.25175</v>
      </c>
      <c r="AF62" s="78">
        <f t="shared" si="2"/>
        <v>0.07272727272727272</v>
      </c>
      <c r="AG62" s="78">
        <f t="shared" si="3"/>
        <v>8.665555555555555</v>
      </c>
      <c r="AH62" s="78">
        <f t="shared" si="4"/>
        <v>347</v>
      </c>
      <c r="AI62" s="78">
        <f t="shared" si="5"/>
        <v>0.7142857142857143</v>
      </c>
      <c r="AJ62" s="78">
        <f t="shared" si="6"/>
        <v>3.897857142857143</v>
      </c>
      <c r="AK62" s="78">
        <f t="shared" si="7"/>
        <v>0.4838709677419355</v>
      </c>
      <c r="AL62" s="78">
        <f t="shared" si="8"/>
        <v>6.851282051282051</v>
      </c>
      <c r="AM62" s="78">
        <f t="shared" si="9"/>
        <v>35.75</v>
      </c>
      <c r="AN62" s="78">
        <f t="shared" si="10"/>
        <v>24.1</v>
      </c>
      <c r="AO62" s="78">
        <f t="shared" si="11"/>
        <v>131.2173913043478</v>
      </c>
      <c r="AP62" s="78">
        <f t="shared" si="12"/>
        <v>32.96875</v>
      </c>
      <c r="AQ62" s="78">
        <f t="shared" si="13"/>
        <v>116.85714285714285</v>
      </c>
      <c r="AR62" s="68">
        <f t="shared" si="34"/>
        <v>0.5128613839913648</v>
      </c>
      <c r="AS62" s="78">
        <f t="shared" si="15"/>
        <v>4.838709677419355</v>
      </c>
      <c r="AT62" s="78"/>
      <c r="AU62" s="78">
        <f t="shared" si="17"/>
        <v>0.06349206349206349</v>
      </c>
      <c r="AV62" s="78">
        <f t="shared" si="18"/>
        <v>0.061538461538461535</v>
      </c>
      <c r="AW62" s="97">
        <f t="shared" si="35"/>
        <v>7.414285714285715</v>
      </c>
      <c r="AX62" s="68">
        <f t="shared" si="36"/>
        <v>2.802142857142857</v>
      </c>
      <c r="AY62" s="68"/>
      <c r="AZ62" s="68">
        <f t="shared" si="37"/>
        <v>4.6121428571428575</v>
      </c>
      <c r="BA62" s="103">
        <f t="shared" si="38"/>
        <v>198.6329590699156</v>
      </c>
      <c r="BB62" s="103">
        <f t="shared" si="39"/>
        <v>153.72375</v>
      </c>
      <c r="BC62" s="27">
        <f t="shared" si="40"/>
        <v>12.745382140859018</v>
      </c>
      <c r="BD62" s="79">
        <f>(('[1]setup'!$B$13*'[1]setup'!$B$14*'[1]setup'!$B$15)/10^(-S62))*10^6</f>
        <v>23.120318023432645</v>
      </c>
      <c r="BE62" s="73">
        <f t="shared" si="41"/>
        <v>27.13458206666867</v>
      </c>
      <c r="BF62" s="74">
        <f t="shared" si="42"/>
        <v>44.90920906991562</v>
      </c>
      <c r="BG62" s="72">
        <f t="shared" si="43"/>
        <v>199.14582045390694</v>
      </c>
      <c r="BH62" s="72">
        <f t="shared" si="44"/>
        <v>203.9786500901013</v>
      </c>
      <c r="BI62" s="75">
        <f t="shared" si="45"/>
        <v>1.198843034676748</v>
      </c>
      <c r="BJ62" s="58"/>
      <c r="BK62" s="92">
        <f>(3*('[1]setup'!$D$19*(10^-S62)^3)+2*('[1]setup'!$D$20*'[1]setup'!$D$19*((10^-S62)^2))+('[1]setup'!$D$21*'[1]setup'!$D$19*10^-S62)+('[1]setup'!$D$19*'[1]setup'!$D$22*(AP62/(10^6*2))*(10^-S62)^3))*10^6</f>
        <v>0.0006602334636609932</v>
      </c>
      <c r="BL62" s="93">
        <f t="shared" si="46"/>
        <v>22.302412663937986</v>
      </c>
      <c r="BM62" s="74">
        <f>(BL62/((('[1]setup'!$C$26)/10^-S62)+2*(('[1]setup'!$C$26*'[1]setup'!$C$27)/(10^-S62^2))+3*(('[1]setup'!$C$26*'[1]setup'!$C$27*'[1]setup'!$C$28)/(10^-S62^3))))/(10^-S62^3/(10^-S62^3+'[1]setup'!$C$26*10^-S62^2+'[1]setup'!$C$26*'[1]setup'!$C$27*10^-S62+'[1]setup'!$C$26*'[1]setup'!$C$27*'[1]setup'!$C$28))</f>
        <v>9.333122071670363</v>
      </c>
      <c r="BN62" s="74"/>
      <c r="BO62" s="123">
        <f t="shared" si="47"/>
        <v>198.6329590699156</v>
      </c>
      <c r="BP62" s="123">
        <f t="shared" si="48"/>
        <v>153.72375</v>
      </c>
      <c r="BQ62" s="123">
        <f t="shared" si="49"/>
        <v>1.2921422946676462</v>
      </c>
      <c r="BR62" s="123">
        <f t="shared" si="50"/>
        <v>44.19492335562987</v>
      </c>
      <c r="BS62" s="123">
        <f t="shared" si="51"/>
        <v>1.1228872116508983</v>
      </c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</row>
    <row r="63" spans="1:143" s="129" customFormat="1" ht="12.75">
      <c r="A63" s="124">
        <v>39535</v>
      </c>
      <c r="B63" s="125">
        <v>12.5</v>
      </c>
      <c r="C63" s="1" t="s">
        <v>85</v>
      </c>
      <c r="D63" s="111">
        <v>929099</v>
      </c>
      <c r="E63" s="67"/>
      <c r="F63" s="90">
        <v>0.006</v>
      </c>
      <c r="G63" s="145">
        <v>0.002</v>
      </c>
      <c r="H63" s="145">
        <v>0.05862</v>
      </c>
      <c r="I63" s="145">
        <v>2.97</v>
      </c>
      <c r="J63" s="9">
        <v>0.01</v>
      </c>
      <c r="K63" s="85">
        <v>0.0256</v>
      </c>
      <c r="L63" s="9">
        <v>0.005</v>
      </c>
      <c r="M63" s="145">
        <v>0.2048</v>
      </c>
      <c r="N63" s="145">
        <v>1.101</v>
      </c>
      <c r="O63" s="145">
        <v>0.3198</v>
      </c>
      <c r="P63" s="145">
        <v>3.068</v>
      </c>
      <c r="Q63" s="9">
        <v>0.6155</v>
      </c>
      <c r="R63" s="85">
        <v>4.071</v>
      </c>
      <c r="S63" s="85">
        <v>6.77</v>
      </c>
      <c r="T63" s="85">
        <v>17.6</v>
      </c>
      <c r="U63" s="85">
        <v>27.773</v>
      </c>
      <c r="V63" s="146">
        <v>0.05</v>
      </c>
      <c r="W63" s="146"/>
      <c r="X63" s="146">
        <v>0.002</v>
      </c>
      <c r="Y63" s="146">
        <v>0.002</v>
      </c>
      <c r="Z63" s="85">
        <v>1.415</v>
      </c>
      <c r="AA63" s="22">
        <v>0.1017</v>
      </c>
      <c r="AB63" s="75">
        <v>0.06609999999999999</v>
      </c>
      <c r="AC63" s="32"/>
      <c r="AD63" s="32"/>
      <c r="AE63" s="78">
        <f t="shared" si="1"/>
        <v>0.2142857142857143</v>
      </c>
      <c r="AF63" s="78">
        <f t="shared" si="2"/>
        <v>0.07272727272727272</v>
      </c>
      <c r="AG63" s="78">
        <f t="shared" si="3"/>
        <v>6.513333333333333</v>
      </c>
      <c r="AH63" s="78">
        <f t="shared" si="4"/>
        <v>424.28571428571433</v>
      </c>
      <c r="AI63" s="78">
        <f t="shared" si="5"/>
        <v>0.7142857142857143</v>
      </c>
      <c r="AJ63" s="78">
        <f t="shared" si="6"/>
        <v>1.8285714285714287</v>
      </c>
      <c r="AK63" s="78">
        <f t="shared" si="7"/>
        <v>0.4838709677419355</v>
      </c>
      <c r="AL63" s="78">
        <f t="shared" si="8"/>
        <v>5.251282051282052</v>
      </c>
      <c r="AM63" s="78">
        <f t="shared" si="9"/>
        <v>55.050000000000004</v>
      </c>
      <c r="AN63" s="78">
        <f t="shared" si="10"/>
        <v>26.649999999999995</v>
      </c>
      <c r="AO63" s="78">
        <f t="shared" si="11"/>
        <v>133.3913043478261</v>
      </c>
      <c r="AP63" s="78">
        <f t="shared" si="12"/>
        <v>38.46875</v>
      </c>
      <c r="AQ63" s="78">
        <f t="shared" si="13"/>
        <v>116.3142857142857</v>
      </c>
      <c r="AR63" s="68">
        <f t="shared" si="34"/>
        <v>0.16982436524617459</v>
      </c>
      <c r="AS63" s="78">
        <f t="shared" si="15"/>
        <v>4.838709677419355</v>
      </c>
      <c r="AT63" s="78"/>
      <c r="AU63" s="78">
        <f t="shared" si="17"/>
        <v>0.06349206349206349</v>
      </c>
      <c r="AV63" s="78">
        <f t="shared" si="18"/>
        <v>0.061538461538461535</v>
      </c>
      <c r="AW63" s="97">
        <f t="shared" si="35"/>
        <v>7.264285714285714</v>
      </c>
      <c r="AX63" s="68">
        <f t="shared" si="36"/>
        <v>4.721428571428571</v>
      </c>
      <c r="AY63" s="68"/>
      <c r="AZ63" s="68">
        <f t="shared" si="37"/>
        <v>2.542857142857143</v>
      </c>
      <c r="BA63" s="103">
        <f t="shared" si="38"/>
        <v>221.05687211339387</v>
      </c>
      <c r="BB63" s="103">
        <f t="shared" si="39"/>
        <v>156.61160714285714</v>
      </c>
      <c r="BC63" s="27">
        <f t="shared" si="40"/>
        <v>17.063977670958906</v>
      </c>
      <c r="BD63" s="79">
        <f>(('[1]setup'!$B$13*'[1]setup'!$B$14*'[1]setup'!$B$15)/10^(-S63))*10^6</f>
        <v>69.82224419110709</v>
      </c>
      <c r="BE63" s="73">
        <f t="shared" si="41"/>
        <v>13.720573190029253</v>
      </c>
      <c r="BF63" s="74">
        <f t="shared" si="42"/>
        <v>64.44526497053678</v>
      </c>
      <c r="BG63" s="72">
        <f t="shared" si="43"/>
        <v>221.22669647864006</v>
      </c>
      <c r="BH63" s="72">
        <f t="shared" si="44"/>
        <v>240.15442452399344</v>
      </c>
      <c r="BI63" s="75">
        <f t="shared" si="45"/>
        <v>4.102406271895408</v>
      </c>
      <c r="BJ63" s="58"/>
      <c r="BK63" s="92">
        <f>(3*('[1]setup'!$D$19*(10^-S63)^3)+2*('[1]setup'!$D$20*'[1]setup'!$D$19*((10^-S63)^2))+('[1]setup'!$D$21*'[1]setup'!$D$19*10^-S63)+('[1]setup'!$D$19*'[1]setup'!$D$22*(AP63/(10^6*2))*(10^-S63)^3))*10^6</f>
        <v>0.00016905522778949016</v>
      </c>
      <c r="BL63" s="93">
        <f t="shared" si="46"/>
        <v>-5.206985800096334</v>
      </c>
      <c r="BM63" s="74">
        <f>(BL63/((('[1]setup'!$C$26)/10^-S63)+2*(('[1]setup'!$C$26*'[1]setup'!$C$27)/(10^-S63^2))+3*(('[1]setup'!$C$26*'[1]setup'!$C$27*'[1]setup'!$C$28)/(10^-S63^3))))/(10^-S63^3/(10^-S63^3+'[1]setup'!$C$26*10^-S63^2+'[1]setup'!$C$26*'[1]setup'!$C$27*10^-S63+'[1]setup'!$C$26*'[1]setup'!$C$27*'[1]setup'!$C$28))</f>
        <v>-1.9514787277877108</v>
      </c>
      <c r="BN63" s="74"/>
      <c r="BO63" s="123">
        <f t="shared" si="47"/>
        <v>221.05687211339387</v>
      </c>
      <c r="BP63" s="123">
        <f t="shared" si="48"/>
        <v>156.61160714285714</v>
      </c>
      <c r="BQ63" s="123">
        <f t="shared" si="49"/>
        <v>1.4114973733188971</v>
      </c>
      <c r="BR63" s="123">
        <f t="shared" si="50"/>
        <v>63.730979256251004</v>
      </c>
      <c r="BS63" s="123">
        <f t="shared" si="51"/>
        <v>1.1468178954001262</v>
      </c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</row>
    <row r="64" spans="1:71" ht="12.75">
      <c r="A64" s="124">
        <v>39553</v>
      </c>
      <c r="B64" s="125">
        <v>14</v>
      </c>
      <c r="C64" s="1" t="s">
        <v>85</v>
      </c>
      <c r="D64" s="1">
        <v>931007</v>
      </c>
      <c r="E64" s="1"/>
      <c r="F64" s="89">
        <v>0.006</v>
      </c>
      <c r="G64" s="145">
        <v>0.002</v>
      </c>
      <c r="H64" s="145">
        <v>0.1098</v>
      </c>
      <c r="I64" s="145">
        <v>2.345</v>
      </c>
      <c r="J64" s="9">
        <v>0.017</v>
      </c>
      <c r="K64" s="85">
        <v>0.05603</v>
      </c>
      <c r="L64" s="9">
        <v>0.005</v>
      </c>
      <c r="M64" s="145">
        <v>0.2388</v>
      </c>
      <c r="N64" s="145">
        <v>0.8224</v>
      </c>
      <c r="O64" s="145">
        <v>0.3537</v>
      </c>
      <c r="P64" s="145">
        <v>3.239</v>
      </c>
      <c r="Q64" s="9">
        <v>0.6482</v>
      </c>
      <c r="R64" s="85">
        <v>6.126</v>
      </c>
      <c r="S64" s="9">
        <v>6.37</v>
      </c>
      <c r="T64" s="9">
        <v>18.5</v>
      </c>
      <c r="U64" s="128">
        <v>28.804</v>
      </c>
      <c r="V64" s="145">
        <v>0.05</v>
      </c>
      <c r="W64" s="145"/>
      <c r="X64" s="145">
        <v>0.002</v>
      </c>
      <c r="Y64" s="145">
        <v>0.002</v>
      </c>
      <c r="Z64" s="9">
        <v>2.52</v>
      </c>
      <c r="AA64" s="9">
        <v>0.1638</v>
      </c>
      <c r="AB64" s="75">
        <v>0.09076999999999999</v>
      </c>
      <c r="AE64" s="78">
        <f t="shared" si="1"/>
        <v>0.2142857142857143</v>
      </c>
      <c r="AF64" s="78">
        <f t="shared" si="2"/>
        <v>0.07272727272727272</v>
      </c>
      <c r="AG64" s="78">
        <f t="shared" si="3"/>
        <v>12.2</v>
      </c>
      <c r="AH64" s="78">
        <f t="shared" si="4"/>
        <v>335</v>
      </c>
      <c r="AI64" s="78">
        <f t="shared" si="5"/>
        <v>1.2142857142857144</v>
      </c>
      <c r="AJ64" s="78">
        <f t="shared" si="6"/>
        <v>4.002142857142858</v>
      </c>
      <c r="AK64" s="78">
        <f t="shared" si="7"/>
        <v>0.4838709677419355</v>
      </c>
      <c r="AL64" s="78">
        <f t="shared" si="8"/>
        <v>6.1230769230769235</v>
      </c>
      <c r="AM64" s="78">
        <f t="shared" si="9"/>
        <v>41.120000000000005</v>
      </c>
      <c r="AN64" s="78">
        <f t="shared" si="10"/>
        <v>29.475</v>
      </c>
      <c r="AO64" s="78">
        <f t="shared" si="11"/>
        <v>140.82608695652175</v>
      </c>
      <c r="AP64" s="78">
        <f t="shared" si="12"/>
        <v>40.5125</v>
      </c>
      <c r="AQ64" s="78">
        <f t="shared" si="13"/>
        <v>175.02857142857144</v>
      </c>
      <c r="AR64" s="68">
        <f t="shared" si="34"/>
        <v>0.4265795188015925</v>
      </c>
      <c r="AS64" s="78">
        <f t="shared" si="15"/>
        <v>4.838709677419355</v>
      </c>
      <c r="AT64" s="78"/>
      <c r="AU64" s="78">
        <f t="shared" si="17"/>
        <v>0.06349206349206349</v>
      </c>
      <c r="AV64" s="78">
        <f t="shared" si="18"/>
        <v>0.061538461538461535</v>
      </c>
      <c r="AW64" s="97">
        <f t="shared" si="35"/>
        <v>11.700000000000001</v>
      </c>
      <c r="AX64" s="68">
        <f t="shared" si="36"/>
        <v>6.483571428571428</v>
      </c>
      <c r="AY64" s="68"/>
      <c r="AZ64" s="68">
        <f t="shared" si="37"/>
        <v>5.2164285714285725</v>
      </c>
      <c r="BA64" s="103">
        <f t="shared" si="38"/>
        <v>218.7584495938844</v>
      </c>
      <c r="BB64" s="103">
        <f t="shared" si="39"/>
        <v>219.5432142857143</v>
      </c>
      <c r="BC64" s="27">
        <f t="shared" si="40"/>
        <v>0.1790467060707944</v>
      </c>
      <c r="BD64" s="79">
        <f>(('[1]setup'!$B$13*'[1]setup'!$B$14*'[1]setup'!$B$15)/10^(-S64))*10^6</f>
        <v>27.796736076617005</v>
      </c>
      <c r="BE64" s="73">
        <f t="shared" si="41"/>
        <v>23.885859575910004</v>
      </c>
      <c r="BF64" s="74">
        <f t="shared" si="42"/>
        <v>-0.7847646918299347</v>
      </c>
      <c r="BG64" s="72">
        <f t="shared" si="43"/>
        <v>219.18502911268598</v>
      </c>
      <c r="BH64" s="72">
        <f t="shared" si="44"/>
        <v>271.2258099382413</v>
      </c>
      <c r="BI64" s="75">
        <f t="shared" si="45"/>
        <v>10.611670191928829</v>
      </c>
      <c r="BJ64" s="58"/>
      <c r="BK64" s="92">
        <f>(3*('[1]setup'!$D$19*(10^-S64)^3)+2*('[1]setup'!$D$20*'[1]setup'!$D$19*((10^-S64)^2))+('[1]setup'!$D$21*'[1]setup'!$D$19*10^-S64)+('[1]setup'!$D$19*'[1]setup'!$D$22*(AP64/(10^6*2))*(10^-S64)^3))*10^6</f>
        <v>0.0005150165290559882</v>
      </c>
      <c r="BL64" s="93">
        <f t="shared" si="46"/>
        <v>-28.154406233116305</v>
      </c>
      <c r="BM64" s="74">
        <f>(BL64/((('[1]setup'!$C$26)/10^-S64)+2*(('[1]setup'!$C$26*'[1]setup'!$C$27)/(10^-S64^2))+3*(('[1]setup'!$C$26*'[1]setup'!$C$27*'[1]setup'!$C$28)/(10^-S64^3))))/(10^-S64^3/(10^-S64^3+'[1]setup'!$C$26*10^-S64^2+'[1]setup'!$C$26*'[1]setup'!$C$27*10^-S64+'[1]setup'!$C$26*'[1]setup'!$C$27*'[1]setup'!$C$28))</f>
        <v>-11.55089297529158</v>
      </c>
      <c r="BN64" s="74"/>
      <c r="BO64" s="123">
        <f t="shared" si="47"/>
        <v>218.7584495938844</v>
      </c>
      <c r="BP64" s="123">
        <f t="shared" si="48"/>
        <v>219.5432142857143</v>
      </c>
      <c r="BQ64" s="123">
        <f t="shared" si="49"/>
        <v>0.9964254659640329</v>
      </c>
      <c r="BR64" s="123">
        <f t="shared" si="50"/>
        <v>-1.9990504061156287</v>
      </c>
      <c r="BS64" s="123">
        <f t="shared" si="51"/>
        <v>0.8045891354029155</v>
      </c>
    </row>
    <row r="65" spans="1:71" ht="12.75">
      <c r="A65" s="124">
        <v>39575</v>
      </c>
      <c r="B65" s="125">
        <v>14.3</v>
      </c>
      <c r="C65" s="1" t="s">
        <v>85</v>
      </c>
      <c r="D65" s="111">
        <v>933292</v>
      </c>
      <c r="E65" s="1"/>
      <c r="F65" s="90">
        <v>0.006</v>
      </c>
      <c r="G65" s="145">
        <v>0.002</v>
      </c>
      <c r="H65" s="145">
        <v>0.05009</v>
      </c>
      <c r="I65" s="145">
        <v>2.74</v>
      </c>
      <c r="J65" s="9">
        <v>0.01</v>
      </c>
      <c r="K65" s="9">
        <v>0.05991</v>
      </c>
      <c r="L65" s="9">
        <v>0.005</v>
      </c>
      <c r="M65" s="145">
        <v>0.1397</v>
      </c>
      <c r="N65" s="145">
        <v>0.86</v>
      </c>
      <c r="O65" s="145">
        <v>0.2665</v>
      </c>
      <c r="P65" s="145">
        <v>2.968</v>
      </c>
      <c r="Q65" s="9">
        <v>0.6015</v>
      </c>
      <c r="R65" s="9">
        <v>4.103</v>
      </c>
      <c r="S65" s="9">
        <v>6.59</v>
      </c>
      <c r="T65" s="9">
        <v>15.7</v>
      </c>
      <c r="U65" s="128">
        <v>25.676</v>
      </c>
      <c r="V65" s="145">
        <v>0.05</v>
      </c>
      <c r="W65" s="145"/>
      <c r="X65" s="145">
        <v>0.002</v>
      </c>
      <c r="Y65" s="145">
        <v>0.002</v>
      </c>
      <c r="Z65" s="9">
        <v>2.048</v>
      </c>
      <c r="AA65" s="9">
        <v>0.2619</v>
      </c>
      <c r="AB65" s="75">
        <v>0.19199000000000002</v>
      </c>
      <c r="AE65" s="78">
        <f t="shared" si="1"/>
        <v>0.2142857142857143</v>
      </c>
      <c r="AF65" s="78">
        <f t="shared" si="2"/>
        <v>0.07272727272727272</v>
      </c>
      <c r="AG65" s="78">
        <f t="shared" si="3"/>
        <v>5.565555555555555</v>
      </c>
      <c r="AH65" s="78">
        <f t="shared" si="4"/>
        <v>391.42857142857144</v>
      </c>
      <c r="AI65" s="78">
        <f t="shared" si="5"/>
        <v>0.7142857142857143</v>
      </c>
      <c r="AJ65" s="78">
        <f t="shared" si="6"/>
        <v>4.279285714285714</v>
      </c>
      <c r="AK65" s="78">
        <f t="shared" si="7"/>
        <v>0.4838709677419355</v>
      </c>
      <c r="AL65" s="78">
        <f t="shared" si="8"/>
        <v>3.5820512820512818</v>
      </c>
      <c r="AM65" s="78">
        <f t="shared" si="9"/>
        <v>43</v>
      </c>
      <c r="AN65" s="78">
        <f t="shared" si="10"/>
        <v>22.208333333333332</v>
      </c>
      <c r="AO65" s="78">
        <f t="shared" si="11"/>
        <v>129.04347826086956</v>
      </c>
      <c r="AP65" s="78">
        <f t="shared" si="12"/>
        <v>37.59375</v>
      </c>
      <c r="AQ65" s="78">
        <f t="shared" si="13"/>
        <v>117.22857142857141</v>
      </c>
      <c r="AR65" s="68">
        <f t="shared" si="34"/>
        <v>0.25703957827688645</v>
      </c>
      <c r="AS65" s="78">
        <f t="shared" si="15"/>
        <v>4.838709677419355</v>
      </c>
      <c r="AT65" s="78"/>
      <c r="AU65" s="78">
        <f t="shared" si="17"/>
        <v>0.06349206349206349</v>
      </c>
      <c r="AV65" s="78">
        <f t="shared" si="18"/>
        <v>0.061538461538461535</v>
      </c>
      <c r="AW65" s="97">
        <f t="shared" si="35"/>
        <v>18.70714285714286</v>
      </c>
      <c r="AX65" s="68">
        <f t="shared" si="36"/>
        <v>13.71357142857143</v>
      </c>
      <c r="AY65" s="68"/>
      <c r="AZ65" s="68">
        <f t="shared" si="37"/>
        <v>4.993571428571428</v>
      </c>
      <c r="BA65" s="103">
        <f t="shared" si="38"/>
        <v>198.54814859053988</v>
      </c>
      <c r="BB65" s="103">
        <f t="shared" si="39"/>
        <v>159.10160714285712</v>
      </c>
      <c r="BC65" s="27">
        <f t="shared" si="40"/>
        <v>11.02937743290042</v>
      </c>
      <c r="BD65" s="79">
        <f>(('[1]setup'!$B$13*'[1]setup'!$B$14*'[1]setup'!$B$15)/10^(-S65))*10^6</f>
        <v>46.13109926225088</v>
      </c>
      <c r="BE65" s="73">
        <f t="shared" si="41"/>
        <v>19.683110983037647</v>
      </c>
      <c r="BF65" s="74">
        <f t="shared" si="42"/>
        <v>39.44654144768276</v>
      </c>
      <c r="BG65" s="72">
        <f t="shared" si="43"/>
        <v>198.80518816881676</v>
      </c>
      <c r="BH65" s="72">
        <f t="shared" si="44"/>
        <v>224.91581738814563</v>
      </c>
      <c r="BI65" s="75">
        <f t="shared" si="45"/>
        <v>6.1622220463221105</v>
      </c>
      <c r="BJ65" s="58"/>
      <c r="BK65" s="92">
        <f>(3*('[1]setup'!$D$19*(10^-S65)^3)+2*('[1]setup'!$D$20*'[1]setup'!$D$19*((10^-S65)^2))+('[1]setup'!$D$21*'[1]setup'!$D$19*10^-S65)+('[1]setup'!$D$19*'[1]setup'!$D$22*(AP65/(10^6*2))*(10^-S65)^3))*10^6</f>
        <v>0.00027322381851149996</v>
      </c>
      <c r="BL65" s="93">
        <f t="shared" si="46"/>
        <v>-6.427245012472724</v>
      </c>
      <c r="BM65" s="74">
        <f>(BL65/((('[1]setup'!$C$26)/10^-S65)+2*(('[1]setup'!$C$26*'[1]setup'!$C$27)/(10^-S65^2))+3*(('[1]setup'!$C$26*'[1]setup'!$C$27*'[1]setup'!$C$28)/(10^-S65^3))))/(10^-S65^3/(10^-S65^3+'[1]setup'!$C$26*10^-S65^2+'[1]setup'!$C$26*'[1]setup'!$C$27*10^-S65+'[1]setup'!$C$26*'[1]setup'!$C$27*'[1]setup'!$C$28))</f>
        <v>-2.502116991515752</v>
      </c>
      <c r="BN65" s="74"/>
      <c r="BO65" s="123">
        <f t="shared" si="47"/>
        <v>198.54814859053988</v>
      </c>
      <c r="BP65" s="123">
        <f t="shared" si="48"/>
        <v>159.10160714285712</v>
      </c>
      <c r="BQ65" s="123">
        <f t="shared" si="49"/>
        <v>1.2479330168693001</v>
      </c>
      <c r="BR65" s="123">
        <f t="shared" si="50"/>
        <v>38.73225573339704</v>
      </c>
      <c r="BS65" s="123">
        <f t="shared" si="51"/>
        <v>1.1007852154838984</v>
      </c>
    </row>
    <row r="66" spans="1:71" ht="12.75">
      <c r="A66" s="124">
        <v>39602</v>
      </c>
      <c r="B66" s="125">
        <v>12.15</v>
      </c>
      <c r="C66" s="1" t="s">
        <v>85</v>
      </c>
      <c r="D66" s="111">
        <v>935733</v>
      </c>
      <c r="E66" s="89"/>
      <c r="F66" s="90">
        <v>0.006</v>
      </c>
      <c r="G66" s="145">
        <v>0.002</v>
      </c>
      <c r="H66" s="145">
        <v>0.02166</v>
      </c>
      <c r="I66" s="145">
        <v>3.287</v>
      </c>
      <c r="J66" s="9">
        <v>0.01</v>
      </c>
      <c r="K66" s="85">
        <v>0.05365</v>
      </c>
      <c r="L66" s="9">
        <v>0.005</v>
      </c>
      <c r="M66" s="145">
        <v>0.3529</v>
      </c>
      <c r="N66" s="145">
        <v>1.128</v>
      </c>
      <c r="O66" s="145">
        <v>0.4292</v>
      </c>
      <c r="P66" s="145">
        <v>3.354</v>
      </c>
      <c r="Q66" s="9">
        <v>0.7284</v>
      </c>
      <c r="R66" s="85">
        <v>4.276</v>
      </c>
      <c r="S66" s="9">
        <v>6.93</v>
      </c>
      <c r="T66" s="9">
        <v>18.1</v>
      </c>
      <c r="U66" s="9">
        <v>28.182</v>
      </c>
      <c r="V66" s="145">
        <v>0.05</v>
      </c>
      <c r="W66" s="145"/>
      <c r="X66" s="145">
        <v>0.002</v>
      </c>
      <c r="Y66" s="145">
        <v>0.002</v>
      </c>
      <c r="Z66" s="9">
        <v>1.242</v>
      </c>
      <c r="AA66" s="9">
        <v>0.01</v>
      </c>
      <c r="AB66" s="75">
        <v>-0.053649999999999996</v>
      </c>
      <c r="AE66" s="78">
        <f t="shared" si="1"/>
        <v>0.2142857142857143</v>
      </c>
      <c r="AF66" s="78">
        <f t="shared" si="2"/>
        <v>0.07272727272727272</v>
      </c>
      <c r="AG66" s="78">
        <f t="shared" si="3"/>
        <v>2.4066666666666663</v>
      </c>
      <c r="AH66" s="78">
        <f t="shared" si="4"/>
        <v>469.5714285714286</v>
      </c>
      <c r="AI66" s="78">
        <f t="shared" si="5"/>
        <v>0.7142857142857143</v>
      </c>
      <c r="AJ66" s="78">
        <f t="shared" si="6"/>
        <v>3.8321428571428573</v>
      </c>
      <c r="AK66" s="78">
        <f t="shared" si="7"/>
        <v>0.4838709677419355</v>
      </c>
      <c r="AL66" s="78">
        <f t="shared" si="8"/>
        <v>9.048717948717949</v>
      </c>
      <c r="AM66" s="78">
        <f t="shared" si="9"/>
        <v>56.39999999999999</v>
      </c>
      <c r="AN66" s="78">
        <f t="shared" si="10"/>
        <v>35.766666666666666</v>
      </c>
      <c r="AO66" s="78">
        <f t="shared" si="11"/>
        <v>145.82608695652175</v>
      </c>
      <c r="AP66" s="78">
        <f t="shared" si="12"/>
        <v>45.525000000000006</v>
      </c>
      <c r="AQ66" s="78">
        <f t="shared" si="13"/>
        <v>122.17142857142856</v>
      </c>
      <c r="AR66" s="68">
        <f t="shared" si="34"/>
        <v>0.117489755493953</v>
      </c>
      <c r="AS66" s="78">
        <f t="shared" si="15"/>
        <v>4.838709677419355</v>
      </c>
      <c r="AT66" s="78"/>
      <c r="AU66" s="78">
        <f t="shared" si="17"/>
        <v>0.06349206349206349</v>
      </c>
      <c r="AV66" s="78">
        <f t="shared" si="18"/>
        <v>0.061538461538461535</v>
      </c>
      <c r="AW66" s="97">
        <f t="shared" si="35"/>
        <v>0.7142857142857143</v>
      </c>
      <c r="AX66" s="68">
        <f t="shared" si="36"/>
        <v>-3.832142857142857</v>
      </c>
      <c r="AY66" s="68"/>
      <c r="AZ66" s="68">
        <f t="shared" si="37"/>
        <v>4.546428571428572</v>
      </c>
      <c r="BA66" s="103">
        <f t="shared" si="38"/>
        <v>247.75575728619208</v>
      </c>
      <c r="BB66" s="103">
        <f t="shared" si="39"/>
        <v>171.5285714285714</v>
      </c>
      <c r="BC66" s="27">
        <f t="shared" si="40"/>
        <v>18.18030883512404</v>
      </c>
      <c r="BD66" s="79">
        <f>(('[1]setup'!$B$13*'[1]setup'!$B$14*'[1]setup'!$B$15)/10^(-S66))*10^6</f>
        <v>100.92384863656002</v>
      </c>
      <c r="BE66" s="73">
        <f t="shared" si="41"/>
        <v>12.119723319986997</v>
      </c>
      <c r="BF66" s="74">
        <f t="shared" si="42"/>
        <v>76.22718585762067</v>
      </c>
      <c r="BG66" s="72">
        <f t="shared" si="43"/>
        <v>247.87324704168603</v>
      </c>
      <c r="BH66" s="72">
        <f t="shared" si="44"/>
        <v>284.57214338511847</v>
      </c>
      <c r="BI66" s="75">
        <f t="shared" si="45"/>
        <v>6.89251836963315</v>
      </c>
      <c r="BJ66" s="58"/>
      <c r="BK66" s="92">
        <f>(3*('[1]setup'!$D$19*(10^-S66)^3)+2*('[1]setup'!$D$20*'[1]setup'!$D$19*((10^-S66)^2))+('[1]setup'!$D$21*'[1]setup'!$D$19*10^-S66)+('[1]setup'!$D$19*'[1]setup'!$D$22*(AP66/(10^6*2))*(10^-S66)^3))*10^6</f>
        <v>0.00011245839635581575</v>
      </c>
      <c r="BL66" s="93">
        <f t="shared" si="46"/>
        <v>-24.579060565049048</v>
      </c>
      <c r="BM66" s="74">
        <f>(BL66/((('[1]setup'!$C$26)/10^-S66)+2*(('[1]setup'!$C$26*'[1]setup'!$C$27)/(10^-S66^2))+3*(('[1]setup'!$C$26*'[1]setup'!$C$27*'[1]setup'!$C$28)/(10^-S66^3))))/(10^-S66^3/(10^-S66^3+'[1]setup'!$C$26*10^-S66^2+'[1]setup'!$C$26*'[1]setup'!$C$27*10^-S66+'[1]setup'!$C$26*'[1]setup'!$C$27*'[1]setup'!$C$28))</f>
        <v>-8.953359471087413</v>
      </c>
      <c r="BN66" s="74"/>
      <c r="BO66" s="123">
        <f t="shared" si="47"/>
        <v>247.75575728619208</v>
      </c>
      <c r="BP66" s="123">
        <f t="shared" si="48"/>
        <v>171.5285714285714</v>
      </c>
      <c r="BQ66" s="123">
        <f t="shared" si="49"/>
        <v>1.4443993512145787</v>
      </c>
      <c r="BR66" s="123">
        <f t="shared" si="50"/>
        <v>75.51290014333495</v>
      </c>
      <c r="BS66" s="123">
        <f t="shared" si="51"/>
        <v>1.1936185789238216</v>
      </c>
    </row>
    <row r="67" spans="1:71" ht="12.75">
      <c r="A67" s="124">
        <v>39637</v>
      </c>
      <c r="B67" s="125">
        <v>13</v>
      </c>
      <c r="C67" s="1" t="s">
        <v>85</v>
      </c>
      <c r="D67" s="111">
        <v>940502</v>
      </c>
      <c r="F67" s="89">
        <v>0.01579</v>
      </c>
      <c r="G67" s="145">
        <v>0.002</v>
      </c>
      <c r="H67" s="145">
        <v>0.1058</v>
      </c>
      <c r="I67" s="145">
        <v>3.159</v>
      </c>
      <c r="J67" s="9">
        <v>0.01</v>
      </c>
      <c r="K67" s="9">
        <v>0.03025</v>
      </c>
      <c r="L67" s="9">
        <v>0.005</v>
      </c>
      <c r="M67" s="145">
        <v>0.1863</v>
      </c>
      <c r="N67" s="145">
        <v>1.312</v>
      </c>
      <c r="O67" s="145">
        <v>0.4167</v>
      </c>
      <c r="P67" s="145">
        <v>3.362</v>
      </c>
      <c r="Q67" s="9">
        <v>0.6115</v>
      </c>
      <c r="R67" s="9">
        <v>4.071</v>
      </c>
      <c r="S67" s="9">
        <v>6.85</v>
      </c>
      <c r="T67" s="9">
        <v>19.3</v>
      </c>
      <c r="U67" s="9">
        <v>28.332</v>
      </c>
      <c r="V67" s="145">
        <v>0.06361</v>
      </c>
      <c r="W67" s="145"/>
      <c r="X67" s="145">
        <v>0.007776</v>
      </c>
      <c r="Y67" s="145">
        <v>0.002</v>
      </c>
      <c r="Z67" s="85">
        <v>3.433</v>
      </c>
      <c r="AA67" s="85">
        <v>0.01</v>
      </c>
      <c r="AB67" s="75">
        <v>-0.03025</v>
      </c>
      <c r="AE67" s="78">
        <f t="shared" si="1"/>
        <v>0.5639285714285713</v>
      </c>
      <c r="AF67" s="78">
        <f t="shared" si="2"/>
        <v>0.07272727272727272</v>
      </c>
      <c r="AG67" s="78">
        <f t="shared" si="3"/>
        <v>11.755555555555556</v>
      </c>
      <c r="AH67" s="78">
        <f t="shared" si="4"/>
        <v>451.2857142857142</v>
      </c>
      <c r="AI67" s="78">
        <f t="shared" si="5"/>
        <v>0.7142857142857143</v>
      </c>
      <c r="AJ67" s="78">
        <f t="shared" si="6"/>
        <v>2.1607142857142856</v>
      </c>
      <c r="AK67" s="78">
        <f t="shared" si="7"/>
        <v>0.4838709677419355</v>
      </c>
      <c r="AL67" s="78">
        <f t="shared" si="8"/>
        <v>4.776923076923077</v>
      </c>
      <c r="AM67" s="78">
        <f t="shared" si="9"/>
        <v>65.60000000000001</v>
      </c>
      <c r="AN67" s="78">
        <f t="shared" si="10"/>
        <v>34.725</v>
      </c>
      <c r="AO67" s="78">
        <f t="shared" si="11"/>
        <v>146.17391304347825</v>
      </c>
      <c r="AP67" s="78">
        <f t="shared" si="12"/>
        <v>38.21875</v>
      </c>
      <c r="AQ67" s="78">
        <f t="shared" si="13"/>
        <v>116.3142857142857</v>
      </c>
      <c r="AR67" s="68">
        <f t="shared" si="34"/>
        <v>0.1412537544622755</v>
      </c>
      <c r="AS67" s="78">
        <f t="shared" si="15"/>
        <v>6.155806451612903</v>
      </c>
      <c r="AT67" s="78"/>
      <c r="AU67" s="78">
        <f t="shared" si="17"/>
        <v>0.24685714285714286</v>
      </c>
      <c r="AV67" s="78">
        <f t="shared" si="18"/>
        <v>0.061538461538461535</v>
      </c>
      <c r="AW67" s="97">
        <f t="shared" si="35"/>
        <v>0.7142857142857143</v>
      </c>
      <c r="AX67" s="68">
        <f t="shared" si="36"/>
        <v>-2.1607142857142856</v>
      </c>
      <c r="AY67" s="68"/>
      <c r="AZ67" s="68">
        <f t="shared" si="37"/>
        <v>2.875</v>
      </c>
      <c r="BA67" s="103">
        <f t="shared" si="38"/>
        <v>251.99012183468707</v>
      </c>
      <c r="BB67" s="103">
        <f t="shared" si="39"/>
        <v>156.69375</v>
      </c>
      <c r="BC67" s="27">
        <f t="shared" si="40"/>
        <v>23.31786948353923</v>
      </c>
      <c r="BD67" s="79">
        <f>(('[1]setup'!$B$13*'[1]setup'!$B$14*'[1]setup'!$B$15)/10^(-S67))*10^6</f>
        <v>83.94480093614024</v>
      </c>
      <c r="BE67" s="73">
        <f t="shared" si="41"/>
        <v>33.39940392580138</v>
      </c>
      <c r="BF67" s="74">
        <f t="shared" si="42"/>
        <v>95.29637183468711</v>
      </c>
      <c r="BG67" s="72">
        <f t="shared" si="43"/>
        <v>252.13137558914934</v>
      </c>
      <c r="BH67" s="72">
        <f t="shared" si="44"/>
        <v>274.03795486194156</v>
      </c>
      <c r="BI67" s="75">
        <f t="shared" si="45"/>
        <v>4.1634086224697775</v>
      </c>
      <c r="BJ67" s="58"/>
      <c r="BK67" s="92">
        <f>(3*('[1]setup'!$D$19*(10^-S67)^3)+2*('[1]setup'!$D$20*'[1]setup'!$D$19*((10^-S67)^2))+('[1]setup'!$D$21*'[1]setup'!$D$19*10^-S67)+('[1]setup'!$D$19*'[1]setup'!$D$22*(AP67/(10^6*2))*(10^-S67)^3))*10^6</f>
        <v>0.0001376317015545801</v>
      </c>
      <c r="BL67" s="93">
        <f t="shared" si="46"/>
        <v>11.4929622847107</v>
      </c>
      <c r="BM67" s="74">
        <f>(BL67/((('[1]setup'!$C$26)/10^-S67)+2*(('[1]setup'!$C$26*'[1]setup'!$C$27)/(10^-S67^2))+3*(('[1]setup'!$C$26*'[1]setup'!$C$27*'[1]setup'!$C$28)/(10^-S67^3))))/(10^-S67^3/(10^-S67^3+'[1]setup'!$C$26*10^-S67^2+'[1]setup'!$C$26*'[1]setup'!$C$27*10^-S67+'[1]setup'!$C$26*'[1]setup'!$C$27*'[1]setup'!$C$28))</f>
        <v>4.243640040147918</v>
      </c>
      <c r="BN67" s="74"/>
      <c r="BO67" s="123">
        <f t="shared" si="47"/>
        <v>251.99012183468705</v>
      </c>
      <c r="BP67" s="123">
        <f t="shared" si="48"/>
        <v>156.69375</v>
      </c>
      <c r="BQ67" s="123">
        <f t="shared" si="49"/>
        <v>1.6081695781400793</v>
      </c>
      <c r="BR67" s="123">
        <f t="shared" si="50"/>
        <v>94.58208612040136</v>
      </c>
      <c r="BS67" s="123">
        <f t="shared" si="51"/>
        <v>1.2567150470453794</v>
      </c>
    </row>
    <row r="68" spans="1:71" ht="12.75">
      <c r="A68" s="124">
        <v>39693</v>
      </c>
      <c r="B68" s="125">
        <v>12</v>
      </c>
      <c r="C68" s="1" t="s">
        <v>85</v>
      </c>
      <c r="D68" s="111">
        <v>946522</v>
      </c>
      <c r="F68" s="88">
        <v>0.04117</v>
      </c>
      <c r="G68" s="9">
        <v>0.002454</v>
      </c>
      <c r="H68" s="9">
        <v>0.05718</v>
      </c>
      <c r="I68" s="9">
        <v>2.74</v>
      </c>
      <c r="J68" s="9">
        <v>0.01</v>
      </c>
      <c r="K68" s="9">
        <v>0.02502</v>
      </c>
      <c r="L68" s="9">
        <v>0.005</v>
      </c>
      <c r="M68" s="9">
        <v>0.2667</v>
      </c>
      <c r="N68" s="9">
        <v>1.743</v>
      </c>
      <c r="O68" s="9">
        <v>0.4529</v>
      </c>
      <c r="P68" s="9">
        <v>3.918</v>
      </c>
      <c r="Q68" s="85">
        <v>0.604</v>
      </c>
      <c r="R68" s="9">
        <v>3.978</v>
      </c>
      <c r="S68" s="9">
        <v>6.74</v>
      </c>
      <c r="T68" s="9">
        <v>19.2</v>
      </c>
      <c r="U68" s="9">
        <v>27.175</v>
      </c>
      <c r="V68" s="9">
        <v>0.05</v>
      </c>
      <c r="W68" s="169"/>
      <c r="X68" s="9">
        <v>0.002</v>
      </c>
      <c r="Y68" s="9">
        <v>0.002</v>
      </c>
      <c r="Z68" s="85">
        <v>1.933</v>
      </c>
      <c r="AA68" s="85">
        <v>0.1292</v>
      </c>
      <c r="AB68" s="75">
        <v>0.09418000000000001</v>
      </c>
      <c r="AE68" s="78">
        <f t="shared" si="1"/>
        <v>1.470357142857143</v>
      </c>
      <c r="AF68" s="78">
        <f t="shared" si="2"/>
        <v>0.08923636363636364</v>
      </c>
      <c r="AG68" s="78">
        <f t="shared" si="3"/>
        <v>6.353333333333334</v>
      </c>
      <c r="AH68" s="78">
        <f t="shared" si="4"/>
        <v>391.42857142857144</v>
      </c>
      <c r="AI68" s="78">
        <f t="shared" si="5"/>
        <v>0.7142857142857143</v>
      </c>
      <c r="AJ68" s="78">
        <f t="shared" si="6"/>
        <v>1.7871428571428571</v>
      </c>
      <c r="AK68" s="78">
        <f t="shared" si="7"/>
        <v>0.4838709677419355</v>
      </c>
      <c r="AL68" s="78">
        <f t="shared" si="8"/>
        <v>6.838461538461538</v>
      </c>
      <c r="AM68" s="78">
        <f t="shared" si="9"/>
        <v>87.15</v>
      </c>
      <c r="AN68" s="78">
        <f t="shared" si="10"/>
        <v>37.74166666666667</v>
      </c>
      <c r="AO68" s="78">
        <f t="shared" si="11"/>
        <v>170.34782608695653</v>
      </c>
      <c r="AP68" s="78">
        <f t="shared" si="12"/>
        <v>37.75</v>
      </c>
      <c r="AQ68" s="78">
        <f t="shared" si="13"/>
        <v>113.65714285714286</v>
      </c>
      <c r="AR68" s="68">
        <f t="shared" si="34"/>
        <v>0.18197008586099822</v>
      </c>
      <c r="AS68" s="78">
        <f t="shared" si="15"/>
        <v>4.838709677419355</v>
      </c>
      <c r="AT68" s="78"/>
      <c r="AU68" s="78">
        <f t="shared" si="17"/>
        <v>0.06349206349206349</v>
      </c>
      <c r="AV68" s="78">
        <f t="shared" si="18"/>
        <v>0.061538461538461535</v>
      </c>
      <c r="AW68" s="97">
        <f t="shared" si="35"/>
        <v>9.22857142857143</v>
      </c>
      <c r="AX68" s="68">
        <f t="shared" si="36"/>
        <v>6.727142857142858</v>
      </c>
      <c r="AY68" s="68"/>
      <c r="AZ68" s="68">
        <f t="shared" si="37"/>
        <v>2.5014285714285713</v>
      </c>
      <c r="BA68" s="103">
        <f t="shared" si="38"/>
        <v>302.7922400063705</v>
      </c>
      <c r="BB68" s="103">
        <f t="shared" si="39"/>
        <v>153.1942857142857</v>
      </c>
      <c r="BC68" s="27">
        <f t="shared" si="40"/>
        <v>32.807538349001696</v>
      </c>
      <c r="BD68" s="79">
        <f>(('[1]setup'!$B$13*'[1]setup'!$B$14*'[1]setup'!$B$15)/10^(-S68))*10^6</f>
        <v>65.16190968264843</v>
      </c>
      <c r="BE68" s="73">
        <f t="shared" si="41"/>
        <v>18.71822972290438</v>
      </c>
      <c r="BF68" s="74">
        <f t="shared" si="42"/>
        <v>149.59795429208478</v>
      </c>
      <c r="BG68" s="72">
        <f t="shared" si="43"/>
        <v>302.9742100922315</v>
      </c>
      <c r="BH68" s="72">
        <f t="shared" si="44"/>
        <v>237.0744251198385</v>
      </c>
      <c r="BI68" s="75">
        <f t="shared" si="45"/>
        <v>12.202564857240128</v>
      </c>
      <c r="BJ68" s="58"/>
      <c r="BK68" s="92">
        <f>(3*('[1]setup'!$D$19*(10^-S68)^3)+2*('[1]setup'!$D$20*'[1]setup'!$D$19*((10^-S68)^2))+('[1]setup'!$D$21*'[1]setup'!$D$19*10^-S68)+('[1]setup'!$D$19*'[1]setup'!$D$22*(AP68/(10^6*2))*(10^-S68)^3))*10^6</f>
        <v>0.00018280615077688058</v>
      </c>
      <c r="BL68" s="93">
        <f t="shared" si="46"/>
        <v>84.61819750144815</v>
      </c>
      <c r="BM68" s="74">
        <f>(BL68/((('[1]setup'!$C$26)/10^-S68)+2*(('[1]setup'!$C$26*'[1]setup'!$C$27)/(10^-S68^2))+3*(('[1]setup'!$C$26*'[1]setup'!$C$27*'[1]setup'!$C$28)/(10^-S68^3))))/(10^-S68^3/(10^-S68^3+'[1]setup'!$C$26*10^-S68^2+'[1]setup'!$C$26*'[1]setup'!$C$27*10^-S68+'[1]setup'!$C$26*'[1]setup'!$C$27*'[1]setup'!$C$28))</f>
        <v>31.901655644541243</v>
      </c>
      <c r="BN68" s="74"/>
      <c r="BO68" s="123">
        <f t="shared" si="47"/>
        <v>302.79224000637043</v>
      </c>
      <c r="BP68" s="123">
        <f t="shared" si="48"/>
        <v>153.1942857142857</v>
      </c>
      <c r="BQ68" s="123">
        <f t="shared" si="49"/>
        <v>1.9765243761839244</v>
      </c>
      <c r="BR68" s="123">
        <f t="shared" si="50"/>
        <v>148.88366857779906</v>
      </c>
      <c r="BS68" s="123">
        <f t="shared" si="51"/>
        <v>1.4987868056921767</v>
      </c>
    </row>
    <row r="69" spans="1:71" ht="12.75">
      <c r="A69" s="124">
        <v>39706</v>
      </c>
      <c r="B69" s="125">
        <v>17.3</v>
      </c>
      <c r="C69" s="1" t="s">
        <v>85</v>
      </c>
      <c r="D69" s="111">
        <v>947734</v>
      </c>
      <c r="E69" s="22"/>
      <c r="F69" s="88">
        <v>0.07128</v>
      </c>
      <c r="G69" s="9">
        <v>0.002344</v>
      </c>
      <c r="H69" s="9">
        <v>0.1569</v>
      </c>
      <c r="I69" s="9">
        <v>1.956</v>
      </c>
      <c r="J69" s="85">
        <v>0.01</v>
      </c>
      <c r="K69" s="9">
        <v>0.025</v>
      </c>
      <c r="L69" s="85">
        <v>0.005</v>
      </c>
      <c r="M69" s="9">
        <v>0.1888</v>
      </c>
      <c r="N69" s="9">
        <v>1.54</v>
      </c>
      <c r="O69" s="9">
        <v>0.4274</v>
      </c>
      <c r="P69" s="9">
        <v>4.141</v>
      </c>
      <c r="Q69" s="9">
        <v>0.5228</v>
      </c>
      <c r="R69" s="9">
        <v>4.034</v>
      </c>
      <c r="S69" s="85">
        <v>6.45</v>
      </c>
      <c r="T69" s="130">
        <v>19.7</v>
      </c>
      <c r="U69" s="130">
        <v>26.683</v>
      </c>
      <c r="V69" s="9">
        <v>0.05</v>
      </c>
      <c r="W69" s="169"/>
      <c r="X69" s="9">
        <v>0.002</v>
      </c>
      <c r="Y69" s="9">
        <v>0.002216</v>
      </c>
      <c r="Z69" s="9">
        <v>4.753</v>
      </c>
      <c r="AA69" s="9">
        <v>0.1432</v>
      </c>
      <c r="AB69" s="75">
        <v>0.10819999999999999</v>
      </c>
      <c r="AE69" s="78">
        <f t="shared" si="1"/>
        <v>2.545714285714286</v>
      </c>
      <c r="AF69" s="78">
        <f t="shared" si="2"/>
        <v>0.08523636363636364</v>
      </c>
      <c r="AG69" s="78">
        <f t="shared" si="3"/>
        <v>17.433333333333337</v>
      </c>
      <c r="AH69" s="78">
        <f t="shared" si="4"/>
        <v>279.4285714285714</v>
      </c>
      <c r="AI69" s="78">
        <f t="shared" si="5"/>
        <v>0.7142857142857143</v>
      </c>
      <c r="AJ69" s="78">
        <f t="shared" si="6"/>
        <v>1.7857142857142858</v>
      </c>
      <c r="AK69" s="78">
        <f t="shared" si="7"/>
        <v>0.4838709677419355</v>
      </c>
      <c r="AL69" s="78">
        <f t="shared" si="8"/>
        <v>4.841025641025641</v>
      </c>
      <c r="AM69" s="78">
        <f t="shared" si="9"/>
        <v>77</v>
      </c>
      <c r="AN69" s="78">
        <f t="shared" si="10"/>
        <v>35.61666666666667</v>
      </c>
      <c r="AO69" s="78">
        <f t="shared" si="11"/>
        <v>180.04347826086956</v>
      </c>
      <c r="AP69" s="78">
        <f t="shared" si="12"/>
        <v>32.675000000000004</v>
      </c>
      <c r="AQ69" s="78">
        <f t="shared" si="13"/>
        <v>115.25714285714285</v>
      </c>
      <c r="AR69" s="68">
        <f t="shared" si="34"/>
        <v>0.35481338923357525</v>
      </c>
      <c r="AS69" s="78">
        <f t="shared" si="15"/>
        <v>4.838709677419355</v>
      </c>
      <c r="AT69" s="78"/>
      <c r="AU69" s="78">
        <f t="shared" si="17"/>
        <v>0.06349206349206349</v>
      </c>
      <c r="AV69" s="78">
        <f t="shared" si="18"/>
        <v>0.06818461538461539</v>
      </c>
      <c r="AW69" s="97">
        <f t="shared" si="35"/>
        <v>10.22857142857143</v>
      </c>
      <c r="AX69" s="68">
        <f t="shared" si="36"/>
        <v>7.728571428571428</v>
      </c>
      <c r="AY69" s="68"/>
      <c r="AZ69" s="68">
        <f t="shared" si="37"/>
        <v>2.5</v>
      </c>
      <c r="BA69" s="103">
        <f t="shared" si="38"/>
        <v>298.2154562828476</v>
      </c>
      <c r="BB69" s="103">
        <f t="shared" si="39"/>
        <v>149.71785714285716</v>
      </c>
      <c r="BC69" s="27">
        <f t="shared" si="40"/>
        <v>33.15172028718078</v>
      </c>
      <c r="BD69" s="79">
        <f>(('[1]setup'!$B$13*'[1]setup'!$B$14*'[1]setup'!$B$15)/10^(-S69))*10^6</f>
        <v>33.41902718336343</v>
      </c>
      <c r="BE69" s="73">
        <f t="shared" si="41"/>
        <v>45.298551760605974</v>
      </c>
      <c r="BF69" s="74">
        <f t="shared" si="42"/>
        <v>148.49759913999046</v>
      </c>
      <c r="BG69" s="72">
        <f t="shared" si="43"/>
        <v>298.57026967208117</v>
      </c>
      <c r="BH69" s="72">
        <f t="shared" si="44"/>
        <v>228.43543608682654</v>
      </c>
      <c r="BI69" s="75">
        <f t="shared" si="45"/>
        <v>13.308173482535238</v>
      </c>
      <c r="BJ69" s="58"/>
      <c r="BK69" s="92">
        <f>(3*('[1]setup'!$D$19*(10^-S69)^3)+2*('[1]setup'!$D$20*'[1]setup'!$D$19*((10^-S69)^2))+('[1]setup'!$D$21*'[1]setup'!$D$19*10^-S69)+('[1]setup'!$D$19*'[1]setup'!$D$22*(AP69/(10^6*2))*(10^-S69)^3))*10^6</f>
        <v>0.000405927024162277</v>
      </c>
      <c r="BL69" s="93">
        <f t="shared" si="46"/>
        <v>115.4337912728848</v>
      </c>
      <c r="BM69" s="74">
        <f>(BL69/((('[1]setup'!$C$26)/10^-S69)+2*(('[1]setup'!$C$26*'[1]setup'!$C$27)/(10^-S69^2))+3*(('[1]setup'!$C$26*'[1]setup'!$C$27*'[1]setup'!$C$28)/(10^-S69^3))))/(10^-S69^3/(10^-S69^3+'[1]setup'!$C$26*10^-S69^2+'[1]setup'!$C$26*'[1]setup'!$C$27*10^-S69+'[1]setup'!$C$26*'[1]setup'!$C$27*'[1]setup'!$C$28))</f>
        <v>46.440802997977514</v>
      </c>
      <c r="BN69" s="74"/>
      <c r="BO69" s="123">
        <f t="shared" si="47"/>
        <v>298.2154562828476</v>
      </c>
      <c r="BP69" s="123">
        <f t="shared" si="48"/>
        <v>149.71785714285716</v>
      </c>
      <c r="BQ69" s="123">
        <f t="shared" si="49"/>
        <v>1.9918496161636725</v>
      </c>
      <c r="BR69" s="123">
        <f t="shared" si="50"/>
        <v>147.7833134257047</v>
      </c>
      <c r="BS69" s="123">
        <f t="shared" si="51"/>
        <v>1.562102562997133</v>
      </c>
    </row>
    <row r="70" spans="1:71" ht="12.75">
      <c r="A70" s="124">
        <v>39721</v>
      </c>
      <c r="B70" s="125">
        <v>13.45</v>
      </c>
      <c r="C70" s="1" t="s">
        <v>85</v>
      </c>
      <c r="D70" s="111">
        <v>948945</v>
      </c>
      <c r="F70" s="88">
        <v>0.0366</v>
      </c>
      <c r="G70" s="9">
        <v>0.002709</v>
      </c>
      <c r="H70" s="9">
        <v>0.0736</v>
      </c>
      <c r="I70" s="9">
        <v>2.142</v>
      </c>
      <c r="J70" s="9">
        <v>0.01</v>
      </c>
      <c r="K70" s="141">
        <v>0.03734</v>
      </c>
      <c r="L70" s="9">
        <v>0.005</v>
      </c>
      <c r="M70" s="9">
        <v>0.1738</v>
      </c>
      <c r="N70" s="9">
        <v>1.556</v>
      </c>
      <c r="O70" s="9">
        <v>0.4119</v>
      </c>
      <c r="P70" s="9">
        <v>3.773</v>
      </c>
      <c r="Q70" s="141">
        <v>0.5974</v>
      </c>
      <c r="R70" s="141">
        <v>4.219</v>
      </c>
      <c r="S70" s="9">
        <v>6.7</v>
      </c>
      <c r="T70" s="9">
        <v>15</v>
      </c>
      <c r="U70" s="9">
        <v>26.258</v>
      </c>
      <c r="V70" s="9">
        <v>0.05</v>
      </c>
      <c r="W70" s="79"/>
      <c r="X70" s="9">
        <v>0.002</v>
      </c>
      <c r="Y70" s="9">
        <v>0.002077</v>
      </c>
      <c r="Z70" s="9">
        <v>2.297</v>
      </c>
      <c r="AA70" s="9">
        <v>0.01</v>
      </c>
      <c r="AB70" s="75">
        <v>-0.03734</v>
      </c>
      <c r="AE70" s="78">
        <f t="shared" si="1"/>
        <v>1.3071428571428572</v>
      </c>
      <c r="AF70" s="78">
        <f t="shared" si="2"/>
        <v>0.09850909090909091</v>
      </c>
      <c r="AG70" s="78">
        <f t="shared" si="3"/>
        <v>8.177777777777777</v>
      </c>
      <c r="AH70" s="78">
        <f t="shared" si="4"/>
        <v>306</v>
      </c>
      <c r="AI70" s="78">
        <f t="shared" si="5"/>
        <v>0.7142857142857143</v>
      </c>
      <c r="AJ70" s="78">
        <f t="shared" si="6"/>
        <v>2.6671428571428573</v>
      </c>
      <c r="AK70" s="78">
        <f t="shared" si="7"/>
        <v>0.4838709677419355</v>
      </c>
      <c r="AL70" s="78">
        <f t="shared" si="8"/>
        <v>4.456410256410257</v>
      </c>
      <c r="AM70" s="78">
        <f t="shared" si="9"/>
        <v>77.80000000000001</v>
      </c>
      <c r="AN70" s="78">
        <f t="shared" si="10"/>
        <v>34.325</v>
      </c>
      <c r="AO70" s="78">
        <f t="shared" si="11"/>
        <v>164.04347826086956</v>
      </c>
      <c r="AP70" s="78">
        <f t="shared" si="12"/>
        <v>37.337500000000006</v>
      </c>
      <c r="AQ70" s="78">
        <f t="shared" si="13"/>
        <v>120.54285714285714</v>
      </c>
      <c r="AR70" s="68">
        <f t="shared" si="34"/>
        <v>0.1995262314968878</v>
      </c>
      <c r="AS70" s="78">
        <f t="shared" si="15"/>
        <v>4.838709677419355</v>
      </c>
      <c r="AT70" s="78"/>
      <c r="AU70" s="78">
        <f t="shared" si="17"/>
        <v>0.06349206349206349</v>
      </c>
      <c r="AV70" s="78">
        <f t="shared" si="18"/>
        <v>0.0639076923076923</v>
      </c>
      <c r="AW70" s="97">
        <f t="shared" si="35"/>
        <v>0.7142857142857143</v>
      </c>
      <c r="AX70" s="68">
        <f t="shared" si="36"/>
        <v>-2.6671428571428573</v>
      </c>
      <c r="AY70" s="68"/>
      <c r="AZ70" s="68">
        <f t="shared" si="37"/>
        <v>3.3814285714285717</v>
      </c>
      <c r="BA70" s="103">
        <f t="shared" si="38"/>
        <v>281.33917423156555</v>
      </c>
      <c r="BB70" s="103">
        <f t="shared" si="39"/>
        <v>160.5475</v>
      </c>
      <c r="BC70" s="27">
        <f t="shared" si="40"/>
        <v>27.33544170383062</v>
      </c>
      <c r="BD70" s="79">
        <f>(('[1]setup'!$B$13*'[1]setup'!$B$14*'[1]setup'!$B$15)/10^(-S70))*10^6</f>
        <v>59.428367943706206</v>
      </c>
      <c r="BE70" s="73">
        <f t="shared" si="41"/>
        <v>22.201451346622044</v>
      </c>
      <c r="BF70" s="74">
        <f t="shared" si="42"/>
        <v>120.79167423156554</v>
      </c>
      <c r="BG70" s="72">
        <f t="shared" si="43"/>
        <v>281.5387004630624</v>
      </c>
      <c r="BH70" s="72">
        <f t="shared" si="44"/>
        <v>242.17731929032826</v>
      </c>
      <c r="BI70" s="75">
        <f t="shared" si="45"/>
        <v>7.5157871228130055</v>
      </c>
      <c r="BJ70" s="58"/>
      <c r="BK70" s="92">
        <f>(3*('[1]setup'!$D$19*(10^-S70)^3)+2*('[1]setup'!$D$20*'[1]setup'!$D$19*((10^-S70)^2))+('[1]setup'!$D$21*'[1]setup'!$D$19*10^-S70)+('[1]setup'!$D$19*'[1]setup'!$D$22*(AP70/(10^6*2))*(10^-S70)^3))*10^6</f>
        <v>0.00020310573875670292</v>
      </c>
      <c r="BL70" s="93">
        <f t="shared" si="46"/>
        <v>61.563035625094955</v>
      </c>
      <c r="BM70" s="74">
        <f>(BL70/((('[1]setup'!$C$26)/10^-S70)+2*(('[1]setup'!$C$26*'[1]setup'!$C$27)/(10^-S70^2))+3*(('[1]setup'!$C$26*'[1]setup'!$C$27*'[1]setup'!$C$28)/(10^-S70^3))))/(10^-S70^3/(10^-S70^3+'[1]setup'!$C$26*10^-S70^2+'[1]setup'!$C$26*'[1]setup'!$C$27*10^-S70+'[1]setup'!$C$26*'[1]setup'!$C$27*'[1]setup'!$C$28))</f>
        <v>23.400027699993302</v>
      </c>
      <c r="BN70" s="74"/>
      <c r="BO70" s="123">
        <f t="shared" si="47"/>
        <v>281.33917423156555</v>
      </c>
      <c r="BP70" s="123">
        <f t="shared" si="48"/>
        <v>160.5475</v>
      </c>
      <c r="BQ70" s="123">
        <f t="shared" si="49"/>
        <v>1.7523734360956447</v>
      </c>
      <c r="BR70" s="123">
        <f t="shared" si="50"/>
        <v>120.07738851727981</v>
      </c>
      <c r="BS70" s="123">
        <f t="shared" si="51"/>
        <v>1.3608726568216247</v>
      </c>
    </row>
    <row r="71" spans="1:71" ht="12.75">
      <c r="A71" s="124">
        <v>39735</v>
      </c>
      <c r="B71" s="125">
        <v>13.2</v>
      </c>
      <c r="C71" s="1" t="s">
        <v>85</v>
      </c>
      <c r="D71" s="111">
        <v>950250</v>
      </c>
      <c r="F71" s="1">
        <v>0.006</v>
      </c>
      <c r="G71" s="9">
        <v>0.002986</v>
      </c>
      <c r="H71" s="9">
        <v>0.06034</v>
      </c>
      <c r="I71" s="9">
        <v>2.247</v>
      </c>
      <c r="J71" s="85">
        <v>0.01</v>
      </c>
      <c r="K71" s="141">
        <v>0.025879</v>
      </c>
      <c r="L71" s="85">
        <v>0.005</v>
      </c>
      <c r="M71" s="9">
        <v>0.1</v>
      </c>
      <c r="N71" s="9">
        <v>1.016</v>
      </c>
      <c r="O71" s="9">
        <v>0.3438</v>
      </c>
      <c r="P71" s="9">
        <v>3.016</v>
      </c>
      <c r="Q71" s="141">
        <v>0.624</v>
      </c>
      <c r="R71" s="141">
        <v>4.444</v>
      </c>
      <c r="S71" s="9">
        <v>6.52</v>
      </c>
      <c r="T71" s="9">
        <v>18.5</v>
      </c>
      <c r="U71" s="9">
        <v>25.611</v>
      </c>
      <c r="V71" s="9">
        <v>0.05</v>
      </c>
      <c r="W71" s="168"/>
      <c r="X71" s="9">
        <v>0.002</v>
      </c>
      <c r="Y71" s="9">
        <v>0.002</v>
      </c>
      <c r="Z71" s="85">
        <v>2.603</v>
      </c>
      <c r="AA71" s="85">
        <v>0.1218</v>
      </c>
      <c r="AB71" s="75">
        <v>0.085921</v>
      </c>
      <c r="AE71" s="78">
        <f t="shared" si="1"/>
        <v>0.2142857142857143</v>
      </c>
      <c r="AF71" s="78">
        <f t="shared" si="2"/>
        <v>0.10858181818181818</v>
      </c>
      <c r="AG71" s="78">
        <f t="shared" si="3"/>
        <v>6.704444444444445</v>
      </c>
      <c r="AH71" s="78">
        <f t="shared" si="4"/>
        <v>321</v>
      </c>
      <c r="AI71" s="78">
        <f t="shared" si="5"/>
        <v>0.7142857142857143</v>
      </c>
      <c r="AJ71" s="78">
        <f t="shared" si="6"/>
        <v>1.8484999999999998</v>
      </c>
      <c r="AK71" s="78">
        <f t="shared" si="7"/>
        <v>0.4838709677419355</v>
      </c>
      <c r="AL71" s="78">
        <f t="shared" si="8"/>
        <v>2.5641025641025643</v>
      </c>
      <c r="AM71" s="78">
        <f t="shared" si="9"/>
        <v>50.8</v>
      </c>
      <c r="AN71" s="78">
        <f t="shared" si="10"/>
        <v>28.65</v>
      </c>
      <c r="AO71" s="78">
        <f t="shared" si="11"/>
        <v>131.1304347826087</v>
      </c>
      <c r="AP71" s="78">
        <f t="shared" si="12"/>
        <v>39</v>
      </c>
      <c r="AQ71" s="78">
        <f t="shared" si="13"/>
        <v>126.97142857142858</v>
      </c>
      <c r="AR71" s="68">
        <f t="shared" si="34"/>
        <v>0.30199517204020193</v>
      </c>
      <c r="AS71" s="78">
        <f t="shared" si="15"/>
        <v>4.838709677419355</v>
      </c>
      <c r="AT71" s="78"/>
      <c r="AU71" s="78">
        <f t="shared" si="17"/>
        <v>0.06349206349206349</v>
      </c>
      <c r="AV71" s="78">
        <f t="shared" si="18"/>
        <v>0.061538461538461535</v>
      </c>
      <c r="AW71" s="97">
        <f t="shared" si="35"/>
        <v>8.700000000000001</v>
      </c>
      <c r="AX71" s="68">
        <f t="shared" si="36"/>
        <v>6.137214285714286</v>
      </c>
      <c r="AY71" s="68"/>
      <c r="AZ71" s="68">
        <f t="shared" si="37"/>
        <v>2.562785714285714</v>
      </c>
      <c r="BA71" s="103">
        <f t="shared" si="38"/>
        <v>213.85882306099697</v>
      </c>
      <c r="BB71" s="103">
        <f t="shared" si="39"/>
        <v>167.8199285714286</v>
      </c>
      <c r="BC71" s="27">
        <f t="shared" si="40"/>
        <v>12.062210508879986</v>
      </c>
      <c r="BD71" s="79">
        <f>(('[1]setup'!$B$13*'[1]setup'!$B$14*'[1]setup'!$B$15)/10^(-S71))*10^6</f>
        <v>39.26393332619127</v>
      </c>
      <c r="BE71" s="73">
        <f t="shared" si="41"/>
        <v>24.916766952747867</v>
      </c>
      <c r="BF71" s="74">
        <f t="shared" si="42"/>
        <v>46.03889448956838</v>
      </c>
      <c r="BG71" s="72">
        <f t="shared" si="43"/>
        <v>214.16081823303716</v>
      </c>
      <c r="BH71" s="72">
        <f t="shared" si="44"/>
        <v>232.00062885036775</v>
      </c>
      <c r="BI71" s="75">
        <f t="shared" si="45"/>
        <v>3.9985101209328895</v>
      </c>
      <c r="BJ71" s="58"/>
      <c r="BK71" s="92">
        <f>(3*('[1]setup'!$D$19*(10^-S71)^3)+2*('[1]setup'!$D$20*'[1]setup'!$D$19*((10^-S71)^2))+('[1]setup'!$D$21*'[1]setup'!$D$19*10^-S71)+('[1]setup'!$D$19*'[1]setup'!$D$22*(AP71/(10^6*2))*(10^-S71)^3))*10^6</f>
        <v>0.00033205920293453896</v>
      </c>
      <c r="BL71" s="93">
        <f t="shared" si="46"/>
        <v>7.07728839462024</v>
      </c>
      <c r="BM71" s="74">
        <f>(BL71/((('[1]setup'!$C$26)/10^-S71)+2*(('[1]setup'!$C$26*'[1]setup'!$C$27)/(10^-S71^2))+3*(('[1]setup'!$C$26*'[1]setup'!$C$27*'[1]setup'!$C$28)/(10^-S71^3))))/(10^-S71^3/(10^-S71^3+'[1]setup'!$C$26*10^-S71^2+'[1]setup'!$C$26*'[1]setup'!$C$27*10^-S71+'[1]setup'!$C$26*'[1]setup'!$C$27*'[1]setup'!$C$28))</f>
        <v>2.800079650169848</v>
      </c>
      <c r="BN71" s="74"/>
      <c r="BO71" s="123">
        <f t="shared" si="47"/>
        <v>213.85882306099697</v>
      </c>
      <c r="BP71" s="123">
        <f t="shared" si="48"/>
        <v>167.8199285714286</v>
      </c>
      <c r="BQ71" s="123">
        <f t="shared" si="49"/>
        <v>1.2743350857164322</v>
      </c>
      <c r="BR71" s="123">
        <f t="shared" si="50"/>
        <v>45.324608775282655</v>
      </c>
      <c r="BS71" s="123">
        <f t="shared" si="51"/>
        <v>1.0327554494579891</v>
      </c>
    </row>
    <row r="72" spans="1:71" ht="12.75">
      <c r="A72" s="124">
        <v>39757</v>
      </c>
      <c r="B72" s="125">
        <v>13.15</v>
      </c>
      <c r="C72" s="1" t="s">
        <v>85</v>
      </c>
      <c r="D72" s="111">
        <v>953159</v>
      </c>
      <c r="F72" s="31">
        <v>0.04859</v>
      </c>
      <c r="G72" s="9">
        <v>0.002507</v>
      </c>
      <c r="H72" s="9">
        <v>0.1666</v>
      </c>
      <c r="I72" s="9">
        <v>1.909</v>
      </c>
      <c r="J72" s="9">
        <v>0.013</v>
      </c>
      <c r="K72" s="141">
        <v>0.025145</v>
      </c>
      <c r="L72" s="9">
        <v>0.005</v>
      </c>
      <c r="M72" s="9">
        <v>0.2654</v>
      </c>
      <c r="N72" s="9">
        <v>0.8677</v>
      </c>
      <c r="O72" s="9">
        <v>0.3486</v>
      </c>
      <c r="P72" s="9">
        <v>3.031</v>
      </c>
      <c r="Q72" s="141">
        <v>0.4685</v>
      </c>
      <c r="R72" s="141">
        <v>4.616</v>
      </c>
      <c r="S72" s="9">
        <v>5.872</v>
      </c>
      <c r="T72" s="9">
        <v>16.4</v>
      </c>
      <c r="U72" s="9">
        <v>25.87</v>
      </c>
      <c r="V72" s="9">
        <v>0.05</v>
      </c>
      <c r="W72" s="168"/>
      <c r="X72" s="9">
        <v>0.002</v>
      </c>
      <c r="Y72" s="9">
        <v>0.004919</v>
      </c>
      <c r="Z72" s="85">
        <v>5.498</v>
      </c>
      <c r="AA72" s="85">
        <v>0.1923</v>
      </c>
      <c r="AB72" s="75">
        <v>0.154155</v>
      </c>
      <c r="AE72" s="78">
        <f t="shared" si="1"/>
        <v>1.7353571428571428</v>
      </c>
      <c r="AF72" s="78">
        <f t="shared" si="2"/>
        <v>0.09116363636363636</v>
      </c>
      <c r="AG72" s="78">
        <f t="shared" si="3"/>
        <v>18.51111111111111</v>
      </c>
      <c r="AH72" s="78">
        <f t="shared" si="4"/>
        <v>272.7142857142857</v>
      </c>
      <c r="AI72" s="78">
        <f t="shared" si="5"/>
        <v>0.9285714285714286</v>
      </c>
      <c r="AJ72" s="78">
        <f t="shared" si="6"/>
        <v>1.7960714285714285</v>
      </c>
      <c r="AK72" s="78">
        <f t="shared" si="7"/>
        <v>0.4838709677419355</v>
      </c>
      <c r="AL72" s="78">
        <f t="shared" si="8"/>
        <v>6.805128205128206</v>
      </c>
      <c r="AM72" s="78">
        <f t="shared" si="9"/>
        <v>43.385</v>
      </c>
      <c r="AN72" s="78">
        <f t="shared" si="10"/>
        <v>29.050000000000004</v>
      </c>
      <c r="AO72" s="78">
        <f t="shared" si="11"/>
        <v>131.78260869565216</v>
      </c>
      <c r="AP72" s="78">
        <f t="shared" si="12"/>
        <v>29.28125</v>
      </c>
      <c r="AQ72" s="78">
        <f t="shared" si="13"/>
        <v>131.88571428571427</v>
      </c>
      <c r="AR72" s="68">
        <f t="shared" si="34"/>
        <v>1.3427649611378643</v>
      </c>
      <c r="AS72" s="78">
        <f t="shared" si="15"/>
        <v>4.838709677419355</v>
      </c>
      <c r="AT72" s="78"/>
      <c r="AU72" s="78">
        <f t="shared" si="17"/>
        <v>0.06349206349206349</v>
      </c>
      <c r="AV72" s="78">
        <f t="shared" si="18"/>
        <v>0.15135384615384614</v>
      </c>
      <c r="AW72" s="97">
        <f t="shared" si="35"/>
        <v>13.735714285714286</v>
      </c>
      <c r="AX72" s="68">
        <f t="shared" si="36"/>
        <v>11.011071428571427</v>
      </c>
      <c r="AY72" s="68"/>
      <c r="AZ72" s="68">
        <f t="shared" si="37"/>
        <v>2.7246428571428574</v>
      </c>
      <c r="BA72" s="103">
        <f t="shared" si="38"/>
        <v>211.95130832935178</v>
      </c>
      <c r="BB72" s="103">
        <f t="shared" si="39"/>
        <v>162.9630357142857</v>
      </c>
      <c r="BC72" s="27">
        <f t="shared" si="40"/>
        <v>13.066523965635248</v>
      </c>
      <c r="BD72" s="79">
        <f>(('[1]setup'!$B$13*'[1]setup'!$B$14*'[1]setup'!$B$15)/10^(-S72))*10^6</f>
        <v>8.830673009049951</v>
      </c>
      <c r="BE72" s="73">
        <f t="shared" si="41"/>
        <v>49.680322632158074</v>
      </c>
      <c r="BF72" s="74">
        <f t="shared" si="42"/>
        <v>48.98827261506608</v>
      </c>
      <c r="BG72" s="72">
        <f t="shared" si="43"/>
        <v>213.29407329048965</v>
      </c>
      <c r="BH72" s="72">
        <f t="shared" si="44"/>
        <v>221.4740313554937</v>
      </c>
      <c r="BI72" s="75">
        <f t="shared" si="45"/>
        <v>1.8814531189367525</v>
      </c>
      <c r="BJ72" s="58"/>
      <c r="BK72" s="92">
        <f>(3*('[1]setup'!$D$19*(10^-S72)^3)+2*('[1]setup'!$D$20*'[1]setup'!$D$19*((10^-S72)^2))+('[1]setup'!$D$21*'[1]setup'!$D$19*10^-S72)+('[1]setup'!$D$19*'[1]setup'!$D$22*(AP72/(10^6*2))*(10^-S72)^3))*10^6</f>
        <v>0.003070363600187847</v>
      </c>
      <c r="BL72" s="93">
        <f t="shared" si="46"/>
        <v>41.503434930754196</v>
      </c>
      <c r="BM72" s="74">
        <f>(BL72/((('[1]setup'!$C$26)/10^-S72)+2*(('[1]setup'!$C$26*'[1]setup'!$C$27)/(10^-S72^2))+3*(('[1]setup'!$C$26*'[1]setup'!$C$27*'[1]setup'!$C$28)/(10^-S72^3))))/(10^-S72^3/(10^-S72^3+'[1]setup'!$C$26*10^-S72^2+'[1]setup'!$C$26*'[1]setup'!$C$27*10^-S72+'[1]setup'!$C$26*'[1]setup'!$C$27*'[1]setup'!$C$28))</f>
        <v>19.171131621402928</v>
      </c>
      <c r="BN72" s="74"/>
      <c r="BO72" s="123">
        <f t="shared" si="47"/>
        <v>211.9513083293518</v>
      </c>
      <c r="BP72" s="123">
        <f t="shared" si="48"/>
        <v>162.9630357142857</v>
      </c>
      <c r="BQ72" s="123">
        <f t="shared" si="49"/>
        <v>1.3006097204825922</v>
      </c>
      <c r="BR72" s="123">
        <f t="shared" si="50"/>
        <v>48.059701186494664</v>
      </c>
      <c r="BS72" s="123">
        <f t="shared" si="51"/>
        <v>0.9992182201793384</v>
      </c>
    </row>
    <row r="73" spans="1:71" ht="12.75">
      <c r="A73" s="124">
        <v>39840</v>
      </c>
      <c r="B73" s="125">
        <v>16.45</v>
      </c>
      <c r="C73" s="1" t="s">
        <v>85</v>
      </c>
      <c r="D73" s="111">
        <v>964405</v>
      </c>
      <c r="E73" s="89"/>
      <c r="F73" s="1">
        <v>0.006</v>
      </c>
      <c r="G73" s="9">
        <v>0.002267</v>
      </c>
      <c r="H73" s="9">
        <v>0.0533</v>
      </c>
      <c r="I73" s="9">
        <v>2.983</v>
      </c>
      <c r="J73" s="9">
        <v>0.01</v>
      </c>
      <c r="K73" s="141">
        <v>0.05207</v>
      </c>
      <c r="L73" s="9">
        <v>0.005</v>
      </c>
      <c r="M73" s="9">
        <v>0.2474</v>
      </c>
      <c r="N73" s="9">
        <v>1.045</v>
      </c>
      <c r="O73" s="9">
        <v>0.4191</v>
      </c>
      <c r="P73" s="9">
        <v>3.505</v>
      </c>
      <c r="Q73" s="141">
        <v>0.612</v>
      </c>
      <c r="R73" s="141">
        <v>4.695</v>
      </c>
      <c r="S73" s="9">
        <v>6.501</v>
      </c>
      <c r="T73" s="9">
        <v>18.2</v>
      </c>
      <c r="U73" s="9">
        <v>28.55</v>
      </c>
      <c r="V73" s="9">
        <v>0.05</v>
      </c>
      <c r="W73" s="168"/>
      <c r="X73" s="9">
        <v>0.002</v>
      </c>
      <c r="Y73" s="9">
        <v>0.002</v>
      </c>
      <c r="Z73" s="9">
        <v>2.227</v>
      </c>
      <c r="AA73" s="9">
        <v>0.127</v>
      </c>
      <c r="AB73" s="75">
        <v>0.06493</v>
      </c>
      <c r="AE73" s="78">
        <f aca="true" t="shared" si="52" ref="AE73:AE105">$F73/56*2*1000</f>
        <v>0.2142857142857143</v>
      </c>
      <c r="AF73" s="78">
        <f aca="true" t="shared" si="53" ref="AF73:AF105">$G73/55*2*1000</f>
        <v>0.08243636363636364</v>
      </c>
      <c r="AG73" s="78">
        <f aca="true" t="shared" si="54" ref="AG73:AG105">$H73/27*3*1000</f>
        <v>5.9222222222222225</v>
      </c>
      <c r="AH73" s="78">
        <f aca="true" t="shared" si="55" ref="AH73:AH105">$I73/28*4*1000</f>
        <v>426.14285714285717</v>
      </c>
      <c r="AI73" s="78">
        <f aca="true" t="shared" si="56" ref="AI73:AI105">$J73/14*1*1000</f>
        <v>0.7142857142857143</v>
      </c>
      <c r="AJ73" s="78">
        <f aca="true" t="shared" si="57" ref="AJ73:AJ105">$K73/14*1*1000</f>
        <v>3.719285714285714</v>
      </c>
      <c r="AK73" s="78">
        <f aca="true" t="shared" si="58" ref="AK73:AK105">$L73/31*3*1000</f>
        <v>0.4838709677419355</v>
      </c>
      <c r="AL73" s="78">
        <f aca="true" t="shared" si="59" ref="AL73:AL105">$M73/39*1*1000</f>
        <v>6.343589743589744</v>
      </c>
      <c r="AM73" s="78">
        <f aca="true" t="shared" si="60" ref="AM73:AM105">$N73/40*2*1000</f>
        <v>52.25</v>
      </c>
      <c r="AN73" s="78">
        <f aca="true" t="shared" si="61" ref="AN73:AN105">$O73/24*2*1000</f>
        <v>34.925</v>
      </c>
      <c r="AO73" s="78">
        <f aca="true" t="shared" si="62" ref="AO73:AO105">$P73/23*1*1000</f>
        <v>152.39130434782606</v>
      </c>
      <c r="AP73" s="78">
        <f aca="true" t="shared" si="63" ref="AP73:AP105">$Q73/32*2*1000</f>
        <v>38.25</v>
      </c>
      <c r="AQ73" s="78">
        <f aca="true" t="shared" si="64" ref="AQ73:AQ105">$R73/35*1*1000</f>
        <v>134.14285714285714</v>
      </c>
      <c r="AR73" s="68">
        <f t="shared" si="34"/>
        <v>0.31550046233746243</v>
      </c>
      <c r="AS73" s="78">
        <f aca="true" t="shared" si="65" ref="AS73:AS105">$V73/31*3*1000</f>
        <v>4.838709677419355</v>
      </c>
      <c r="AT73" s="78"/>
      <c r="AU73" s="78">
        <f aca="true" t="shared" si="66" ref="AU73:AU105">$X73/63*2*1000</f>
        <v>0.06349206349206349</v>
      </c>
      <c r="AV73" s="78">
        <f aca="true" t="shared" si="67" ref="AV73:AV105">$Y73/65*2*1000</f>
        <v>0.061538461538461535</v>
      </c>
      <c r="AW73" s="97">
        <f t="shared" si="35"/>
        <v>9.071428571428573</v>
      </c>
      <c r="AX73" s="68">
        <f t="shared" si="36"/>
        <v>4.637857142857143</v>
      </c>
      <c r="AY73" s="68"/>
      <c r="AZ73" s="68">
        <f t="shared" si="37"/>
        <v>4.433571428571428</v>
      </c>
      <c r="BA73" s="103">
        <f t="shared" si="38"/>
        <v>246.62417980570154</v>
      </c>
      <c r="BB73" s="103">
        <f t="shared" si="39"/>
        <v>176.11214285714286</v>
      </c>
      <c r="BC73" s="27">
        <f t="shared" si="40"/>
        <v>16.67990971402662</v>
      </c>
      <c r="BD73" s="79">
        <f>(('[1]setup'!$B$13*'[1]setup'!$B$14*'[1]setup'!$B$15)/10^(-S73))*10^6</f>
        <v>37.58320419554644</v>
      </c>
      <c r="BE73" s="73">
        <f t="shared" si="41"/>
        <v>21.293031722810863</v>
      </c>
      <c r="BF73" s="74">
        <f t="shared" si="42"/>
        <v>70.51203694855869</v>
      </c>
      <c r="BG73" s="72">
        <f t="shared" si="43"/>
        <v>246.939680268039</v>
      </c>
      <c r="BH73" s="72">
        <f t="shared" si="44"/>
        <v>234.98837877550017</v>
      </c>
      <c r="BI73" s="75">
        <f t="shared" si="45"/>
        <v>2.479893267940873</v>
      </c>
      <c r="BJ73" s="58"/>
      <c r="BK73" s="92">
        <f>(3*('[1]setup'!$D$19*(10^-S73)^3)+2*('[1]setup'!$D$20*'[1]setup'!$D$19*((10^-S73)^2))+('[1]setup'!$D$21*'[1]setup'!$D$19*10^-S73)+('[1]setup'!$D$19*'[1]setup'!$D$22*(AP73/(10^6*2))*(10^-S73)^3))*10^6</f>
        <v>0.0003504505299647403</v>
      </c>
      <c r="BL73" s="93">
        <f t="shared" si="46"/>
        <v>33.24468366587968</v>
      </c>
      <c r="BM73" s="74">
        <f>(BL73/((('[1]setup'!$C$26)/10^-S73)+2*(('[1]setup'!$C$26*'[1]setup'!$C$27)/(10^-S73^2))+3*(('[1]setup'!$C$26*'[1]setup'!$C$27*'[1]setup'!$C$28)/(10^-S73^3))))/(10^-S73^3/(10^-S73^3+'[1]setup'!$C$26*10^-S73^2+'[1]setup'!$C$26*'[1]setup'!$C$27*10^-S73+'[1]setup'!$C$26*'[1]setup'!$C$27*'[1]setup'!$C$28))</f>
        <v>13.212231511646262</v>
      </c>
      <c r="BN73" s="74"/>
      <c r="BO73" s="123">
        <f t="shared" si="47"/>
        <v>246.62417980570152</v>
      </c>
      <c r="BP73" s="123">
        <f t="shared" si="48"/>
        <v>176.11214285714286</v>
      </c>
      <c r="BQ73" s="123">
        <f t="shared" si="49"/>
        <v>1.4003814603843416</v>
      </c>
      <c r="BR73" s="123">
        <f t="shared" si="50"/>
        <v>69.79775123427297</v>
      </c>
      <c r="BS73" s="123">
        <f t="shared" si="51"/>
        <v>1.1360374126036021</v>
      </c>
    </row>
    <row r="74" spans="1:71" ht="12.75">
      <c r="A74" s="124">
        <v>39875</v>
      </c>
      <c r="B74" s="125">
        <v>13.3</v>
      </c>
      <c r="C74" s="1" t="s">
        <v>85</v>
      </c>
      <c r="D74" s="111">
        <v>968390</v>
      </c>
      <c r="E74" s="89"/>
      <c r="F74" s="1">
        <v>0.006</v>
      </c>
      <c r="G74" s="9">
        <v>0.002064</v>
      </c>
      <c r="H74" s="9">
        <v>0.0454</v>
      </c>
      <c r="I74" s="9">
        <v>2.599</v>
      </c>
      <c r="J74" s="9">
        <v>0.01</v>
      </c>
      <c r="K74" s="141">
        <v>0.03744</v>
      </c>
      <c r="L74" s="9">
        <v>0.005</v>
      </c>
      <c r="M74" s="9">
        <v>0.2291</v>
      </c>
      <c r="N74" s="9">
        <v>1.05</v>
      </c>
      <c r="O74" s="9">
        <v>0.3634</v>
      </c>
      <c r="P74" s="9">
        <v>3.314</v>
      </c>
      <c r="Q74" s="141">
        <v>0.6009</v>
      </c>
      <c r="R74" s="141">
        <v>4.018</v>
      </c>
      <c r="S74" s="9">
        <v>6.596</v>
      </c>
      <c r="T74" s="9">
        <v>19.3</v>
      </c>
      <c r="U74" s="9">
        <v>26.46</v>
      </c>
      <c r="V74" s="9">
        <v>0.05</v>
      </c>
      <c r="W74" s="168"/>
      <c r="X74" s="9">
        <v>0.002</v>
      </c>
      <c r="Y74" s="9">
        <v>0.002</v>
      </c>
      <c r="Z74" s="9">
        <v>1.741</v>
      </c>
      <c r="AA74" s="9">
        <v>0.1066</v>
      </c>
      <c r="AB74" s="75">
        <v>0.05916</v>
      </c>
      <c r="AE74" s="78">
        <f t="shared" si="52"/>
        <v>0.2142857142857143</v>
      </c>
      <c r="AF74" s="78">
        <f t="shared" si="53"/>
        <v>0.07505454545454546</v>
      </c>
      <c r="AG74" s="78">
        <f t="shared" si="54"/>
        <v>5.044444444444444</v>
      </c>
      <c r="AH74" s="78">
        <f t="shared" si="55"/>
        <v>371.28571428571433</v>
      </c>
      <c r="AI74" s="78">
        <f t="shared" si="56"/>
        <v>0.7142857142857143</v>
      </c>
      <c r="AJ74" s="78">
        <f t="shared" si="57"/>
        <v>2.6742857142857144</v>
      </c>
      <c r="AK74" s="78">
        <f t="shared" si="58"/>
        <v>0.4838709677419355</v>
      </c>
      <c r="AL74" s="78">
        <f t="shared" si="59"/>
        <v>5.874358974358974</v>
      </c>
      <c r="AM74" s="78">
        <f t="shared" si="60"/>
        <v>52.50000000000001</v>
      </c>
      <c r="AN74" s="78">
        <f t="shared" si="61"/>
        <v>30.28333333333333</v>
      </c>
      <c r="AO74" s="78">
        <f t="shared" si="62"/>
        <v>144.08695652173915</v>
      </c>
      <c r="AP74" s="78">
        <f t="shared" si="63"/>
        <v>37.55625</v>
      </c>
      <c r="AQ74" s="78">
        <f t="shared" si="64"/>
        <v>114.8</v>
      </c>
      <c r="AR74" s="68">
        <f t="shared" si="34"/>
        <v>0.2535128630497907</v>
      </c>
      <c r="AS74" s="78">
        <f t="shared" si="65"/>
        <v>4.838709677419355</v>
      </c>
      <c r="AT74" s="78"/>
      <c r="AU74" s="78">
        <f t="shared" si="66"/>
        <v>0.06349206349206349</v>
      </c>
      <c r="AV74" s="78">
        <f t="shared" si="67"/>
        <v>0.061538461538461535</v>
      </c>
      <c r="AW74" s="97">
        <f t="shared" si="35"/>
        <v>7.614285714285714</v>
      </c>
      <c r="AX74" s="68">
        <f t="shared" si="36"/>
        <v>4.225714285714286</v>
      </c>
      <c r="AY74" s="68"/>
      <c r="AZ74" s="68">
        <f t="shared" si="37"/>
        <v>3.388571428571429</v>
      </c>
      <c r="BA74" s="103">
        <f t="shared" si="38"/>
        <v>233.4589345437172</v>
      </c>
      <c r="BB74" s="103">
        <f t="shared" si="39"/>
        <v>155.03053571428572</v>
      </c>
      <c r="BC74" s="27">
        <f t="shared" si="40"/>
        <v>20.188037214328034</v>
      </c>
      <c r="BD74" s="79">
        <f>(('[1]setup'!$B$13*'[1]setup'!$B$14*'[1]setup'!$B$15)/10^(-S74))*10^6</f>
        <v>46.77284677854513</v>
      </c>
      <c r="BE74" s="73">
        <f t="shared" si="41"/>
        <v>16.738070112908854</v>
      </c>
      <c r="BF74" s="74">
        <f t="shared" si="42"/>
        <v>78.4283988294315</v>
      </c>
      <c r="BG74" s="72">
        <f t="shared" si="43"/>
        <v>233.71244740676698</v>
      </c>
      <c r="BH74" s="72">
        <f t="shared" si="44"/>
        <v>218.54145260573966</v>
      </c>
      <c r="BI74" s="75">
        <f t="shared" si="45"/>
        <v>3.3545304530503284</v>
      </c>
      <c r="BJ74" s="58"/>
      <c r="BK74" s="92">
        <f>(3*('[1]setup'!$D$19*(10^-S74)^3)+2*('[1]setup'!$D$20*'[1]setup'!$D$19*((10^-S74)^2))+('[1]setup'!$D$21*'[1]setup'!$D$19*10^-S74)+('[1]setup'!$D$19*'[1]setup'!$D$22*(AP74/(10^6*2))*(10^-S74)^3))*10^6</f>
        <v>0.00026876055737674794</v>
      </c>
      <c r="BL74" s="93">
        <f t="shared" si="46"/>
        <v>31.909333674493553</v>
      </c>
      <c r="BM74" s="74">
        <f>(BL74/((('[1]setup'!$C$26)/10^-S74)+2*(('[1]setup'!$C$26*'[1]setup'!$C$27)/(10^-S74^2))+3*(('[1]setup'!$C$26*'[1]setup'!$C$27*'[1]setup'!$C$28)/(10^-S74^3))))/(10^-S74^3/(10^-S74^3+'[1]setup'!$C$26*10^-S74^2+'[1]setup'!$C$26*'[1]setup'!$C$27*10^-S74+'[1]setup'!$C$26*'[1]setup'!$C$27*'[1]setup'!$C$28))</f>
        <v>12.405441432933362</v>
      </c>
      <c r="BN74" s="74"/>
      <c r="BO74" s="123">
        <f t="shared" si="47"/>
        <v>233.4589345437172</v>
      </c>
      <c r="BP74" s="123">
        <f t="shared" si="48"/>
        <v>155.03053571428572</v>
      </c>
      <c r="BQ74" s="123">
        <f t="shared" si="49"/>
        <v>1.5058900072045902</v>
      </c>
      <c r="BR74" s="123">
        <f t="shared" si="50"/>
        <v>77.71411311514575</v>
      </c>
      <c r="BS74" s="123">
        <f t="shared" si="51"/>
        <v>1.2551128616876233</v>
      </c>
    </row>
    <row r="75" spans="1:71" ht="12.75">
      <c r="A75" s="124">
        <v>39899</v>
      </c>
      <c r="B75" s="125">
        <v>12.45</v>
      </c>
      <c r="C75" s="1" t="s">
        <v>85</v>
      </c>
      <c r="D75" s="111">
        <v>971534</v>
      </c>
      <c r="E75" s="89"/>
      <c r="F75" s="31">
        <v>0.04596</v>
      </c>
      <c r="G75" s="9">
        <v>0.002954</v>
      </c>
      <c r="H75" s="9">
        <v>0.1846</v>
      </c>
      <c r="I75" s="9">
        <v>1.702</v>
      </c>
      <c r="J75" s="9">
        <v>0.01</v>
      </c>
      <c r="K75" s="141">
        <v>0.025</v>
      </c>
      <c r="L75" s="9">
        <v>0.006</v>
      </c>
      <c r="M75" s="9">
        <v>0.2376</v>
      </c>
      <c r="N75" s="9">
        <v>1.028</v>
      </c>
      <c r="O75" s="9">
        <v>0.3994</v>
      </c>
      <c r="P75" s="9">
        <v>3.362</v>
      </c>
      <c r="Q75" s="141">
        <v>0.4053</v>
      </c>
      <c r="R75" s="141">
        <v>4.729</v>
      </c>
      <c r="S75" s="9">
        <v>6.015</v>
      </c>
      <c r="T75" s="9">
        <v>18.2</v>
      </c>
      <c r="U75" s="9">
        <v>25.58</v>
      </c>
      <c r="V75" s="9">
        <v>0.05</v>
      </c>
      <c r="W75" s="141"/>
      <c r="X75" s="9">
        <v>0.002</v>
      </c>
      <c r="Y75" s="9">
        <v>0.002195</v>
      </c>
      <c r="Z75" s="9">
        <v>5.737</v>
      </c>
      <c r="AA75" s="9">
        <v>0.149</v>
      </c>
      <c r="AB75" s="75">
        <v>0.11399999999999999</v>
      </c>
      <c r="AE75" s="78">
        <f t="shared" si="52"/>
        <v>1.6414285714285715</v>
      </c>
      <c r="AF75" s="78">
        <f t="shared" si="53"/>
        <v>0.10741818181818182</v>
      </c>
      <c r="AG75" s="78">
        <f t="shared" si="54"/>
        <v>20.51111111111111</v>
      </c>
      <c r="AH75" s="78">
        <f t="shared" si="55"/>
        <v>243.14285714285714</v>
      </c>
      <c r="AI75" s="78">
        <f t="shared" si="56"/>
        <v>0.7142857142857143</v>
      </c>
      <c r="AJ75" s="78">
        <f t="shared" si="57"/>
        <v>1.7857142857142858</v>
      </c>
      <c r="AK75" s="78">
        <f t="shared" si="58"/>
        <v>0.5806451612903225</v>
      </c>
      <c r="AL75" s="78">
        <f t="shared" si="59"/>
        <v>6.092307692307693</v>
      </c>
      <c r="AM75" s="78">
        <f t="shared" si="60"/>
        <v>51.4</v>
      </c>
      <c r="AN75" s="78">
        <f t="shared" si="61"/>
        <v>33.28333333333333</v>
      </c>
      <c r="AO75" s="78">
        <f t="shared" si="62"/>
        <v>146.17391304347825</v>
      </c>
      <c r="AP75" s="78">
        <f t="shared" si="63"/>
        <v>25.33125</v>
      </c>
      <c r="AQ75" s="78">
        <f t="shared" si="64"/>
        <v>135.11428571428573</v>
      </c>
      <c r="AR75" s="68">
        <f t="shared" si="34"/>
        <v>0.9660508789898141</v>
      </c>
      <c r="AS75" s="78">
        <f t="shared" si="65"/>
        <v>4.838709677419355</v>
      </c>
      <c r="AT75" s="78"/>
      <c r="AU75" s="78">
        <f t="shared" si="66"/>
        <v>0.06349206349206349</v>
      </c>
      <c r="AV75" s="78">
        <f t="shared" si="67"/>
        <v>0.06753846153846153</v>
      </c>
      <c r="AW75" s="97">
        <f t="shared" si="35"/>
        <v>10.642857142857142</v>
      </c>
      <c r="AX75" s="68">
        <f t="shared" si="36"/>
        <v>8.142857142857142</v>
      </c>
      <c r="AY75" s="68"/>
      <c r="AZ75" s="68">
        <f t="shared" si="37"/>
        <v>2.5</v>
      </c>
      <c r="BA75" s="103">
        <f t="shared" si="38"/>
        <v>237.663839783405</v>
      </c>
      <c r="BB75" s="103">
        <f t="shared" si="39"/>
        <v>162.23125000000002</v>
      </c>
      <c r="BC75" s="27">
        <f t="shared" si="40"/>
        <v>18.86309477424729</v>
      </c>
      <c r="BD75" s="79">
        <f>(('[1]setup'!$B$13*'[1]setup'!$B$14*'[1]setup'!$B$15)/10^(-S75))*10^6</f>
        <v>12.27421718431373</v>
      </c>
      <c r="BE75" s="73">
        <f t="shared" si="41"/>
        <v>52.70034610840538</v>
      </c>
      <c r="BF75" s="74">
        <f t="shared" si="42"/>
        <v>75.43258978340498</v>
      </c>
      <c r="BG75" s="72">
        <f t="shared" si="43"/>
        <v>238.6298906623948</v>
      </c>
      <c r="BH75" s="72">
        <f t="shared" si="44"/>
        <v>227.2058132927191</v>
      </c>
      <c r="BI75" s="75">
        <f t="shared" si="45"/>
        <v>2.4523833773755737</v>
      </c>
      <c r="BJ75" s="58"/>
      <c r="BK75" s="92">
        <f>(3*('[1]setup'!$D$19*(10^-S75)^3)+2*('[1]setup'!$D$20*'[1]setup'!$D$19*((10^-S75)^2))+('[1]setup'!$D$21*'[1]setup'!$D$19*10^-S75)+('[1]setup'!$D$19*'[1]setup'!$D$22*(AP75/(10^6*2))*(10^-S75)^3))*10^6</f>
        <v>0.0017209419095943971</v>
      </c>
      <c r="BL75" s="93">
        <f t="shared" si="46"/>
        <v>64.12614441999065</v>
      </c>
      <c r="BM75" s="74">
        <f>(BL75/((('[1]setup'!$C$26)/10^-S75)+2*(('[1]setup'!$C$26*'[1]setup'!$C$27)/(10^-S75^2))+3*(('[1]setup'!$C$26*'[1]setup'!$C$27*'[1]setup'!$C$28)/(10^-S75^3))))/(10^-S75^3/(10^-S75^3+'[1]setup'!$C$26*10^-S75^2+'[1]setup'!$C$26*'[1]setup'!$C$27*10^-S75+'[1]setup'!$C$26*'[1]setup'!$C$27*'[1]setup'!$C$28))</f>
        <v>28.683532467533258</v>
      </c>
      <c r="BN75" s="74"/>
      <c r="BO75" s="123">
        <f t="shared" si="47"/>
        <v>237.663839783405</v>
      </c>
      <c r="BP75" s="123">
        <f t="shared" si="48"/>
        <v>162.23125000000002</v>
      </c>
      <c r="BQ75" s="123">
        <f t="shared" si="49"/>
        <v>1.4649695405996377</v>
      </c>
      <c r="BR75" s="123">
        <f t="shared" si="50"/>
        <v>74.71830406911926</v>
      </c>
      <c r="BS75" s="123">
        <f t="shared" si="51"/>
        <v>1.0818538711189973</v>
      </c>
    </row>
    <row r="76" spans="1:71" ht="12.75">
      <c r="A76" s="124">
        <v>39910</v>
      </c>
      <c r="B76" s="125">
        <v>12.5</v>
      </c>
      <c r="C76" s="1" t="s">
        <v>85</v>
      </c>
      <c r="D76" s="111">
        <v>971852</v>
      </c>
      <c r="F76" s="1">
        <v>0.006</v>
      </c>
      <c r="G76" s="9">
        <v>0.002448</v>
      </c>
      <c r="H76" s="9">
        <v>0.06417</v>
      </c>
      <c r="I76" s="9">
        <v>2.411</v>
      </c>
      <c r="J76" s="85">
        <v>0.01</v>
      </c>
      <c r="K76" s="141">
        <v>0.025791</v>
      </c>
      <c r="L76" s="85">
        <v>0.005</v>
      </c>
      <c r="M76" s="9">
        <v>0.2795</v>
      </c>
      <c r="N76" s="9">
        <v>1.17</v>
      </c>
      <c r="O76" s="9">
        <v>0.408</v>
      </c>
      <c r="P76" s="9">
        <v>3.666</v>
      </c>
      <c r="Q76" s="141">
        <v>0.5385</v>
      </c>
      <c r="R76" s="141">
        <v>4.008</v>
      </c>
      <c r="S76" s="9">
        <v>6.521</v>
      </c>
      <c r="T76" s="9">
        <v>15.1</v>
      </c>
      <c r="U76" s="9">
        <v>26.55</v>
      </c>
      <c r="V76" s="9">
        <v>0.05</v>
      </c>
      <c r="W76" s="168"/>
      <c r="X76" s="9">
        <v>0.002</v>
      </c>
      <c r="Y76" s="9">
        <v>0.002</v>
      </c>
      <c r="Z76" s="9">
        <v>1.73</v>
      </c>
      <c r="AA76" s="9">
        <v>0.01</v>
      </c>
      <c r="AB76" s="75">
        <v>-0.025791</v>
      </c>
      <c r="AC76" s="86"/>
      <c r="AE76" s="78">
        <f t="shared" si="52"/>
        <v>0.2142857142857143</v>
      </c>
      <c r="AF76" s="78">
        <f t="shared" si="53"/>
        <v>0.08901818181818182</v>
      </c>
      <c r="AG76" s="78">
        <f t="shared" si="54"/>
        <v>7.13</v>
      </c>
      <c r="AH76" s="78">
        <f t="shared" si="55"/>
        <v>344.42857142857144</v>
      </c>
      <c r="AI76" s="78">
        <f t="shared" si="56"/>
        <v>0.7142857142857143</v>
      </c>
      <c r="AJ76" s="78">
        <f t="shared" si="57"/>
        <v>1.8422142857142858</v>
      </c>
      <c r="AK76" s="78">
        <f t="shared" si="58"/>
        <v>0.4838709677419355</v>
      </c>
      <c r="AL76" s="78">
        <f t="shared" si="59"/>
        <v>7.166666666666668</v>
      </c>
      <c r="AM76" s="78">
        <f t="shared" si="60"/>
        <v>58.5</v>
      </c>
      <c r="AN76" s="78">
        <f t="shared" si="61"/>
        <v>33.99999999999999</v>
      </c>
      <c r="AO76" s="78">
        <f t="shared" si="62"/>
        <v>159.3913043478261</v>
      </c>
      <c r="AP76" s="78">
        <f t="shared" si="63"/>
        <v>33.65625</v>
      </c>
      <c r="AQ76" s="78">
        <f t="shared" si="64"/>
        <v>114.51428571428572</v>
      </c>
      <c r="AR76" s="68">
        <f t="shared" si="34"/>
        <v>0.3013006024186121</v>
      </c>
      <c r="AS76" s="78">
        <f t="shared" si="65"/>
        <v>4.838709677419355</v>
      </c>
      <c r="AT76" s="78"/>
      <c r="AU76" s="78">
        <f t="shared" si="66"/>
        <v>0.06349206349206349</v>
      </c>
      <c r="AV76" s="78">
        <f t="shared" si="67"/>
        <v>0.061538461538461535</v>
      </c>
      <c r="AW76" s="97">
        <f t="shared" si="35"/>
        <v>0.7142857142857143</v>
      </c>
      <c r="AX76" s="68">
        <f t="shared" si="36"/>
        <v>-1.8422142857142858</v>
      </c>
      <c r="AY76" s="68"/>
      <c r="AZ76" s="68">
        <f t="shared" si="37"/>
        <v>2.5565</v>
      </c>
      <c r="BA76" s="103">
        <f t="shared" si="38"/>
        <v>259.7722567287785</v>
      </c>
      <c r="BB76" s="103">
        <f t="shared" si="39"/>
        <v>150.01275</v>
      </c>
      <c r="BC76" s="27">
        <f t="shared" si="40"/>
        <v>26.78465657027423</v>
      </c>
      <c r="BD76" s="79">
        <f>(('[1]setup'!$B$13*'[1]setup'!$B$14*'[1]setup'!$B$15)/10^(-S76))*10^6</f>
        <v>39.35444604038294</v>
      </c>
      <c r="BE76" s="73">
        <f t="shared" si="41"/>
        <v>16.561117404233475</v>
      </c>
      <c r="BF76" s="74">
        <f t="shared" si="42"/>
        <v>109.75950672877846</v>
      </c>
      <c r="BG76" s="72">
        <f t="shared" si="43"/>
        <v>260.0735573311971</v>
      </c>
      <c r="BH76" s="72">
        <f t="shared" si="44"/>
        <v>205.92831344461644</v>
      </c>
      <c r="BI76" s="75">
        <f t="shared" si="45"/>
        <v>11.619104403258742</v>
      </c>
      <c r="BJ76" s="58"/>
      <c r="BK76" s="92">
        <f>(3*('[1]setup'!$D$19*(10^-S76)^3)+2*('[1]setup'!$D$20*'[1]setup'!$D$19*((10^-S76)^2))+('[1]setup'!$D$21*'[1]setup'!$D$19*10^-S76)+('[1]setup'!$D$19*'[1]setup'!$D$22*(AP76/(10^6*2))*(10^-S76)^3))*10^6</f>
        <v>0.00033111632247554465</v>
      </c>
      <c r="BL76" s="93">
        <f t="shared" si="46"/>
        <v>70.70669240713659</v>
      </c>
      <c r="BM76" s="74">
        <f>(BL76/((('[1]setup'!$C$26)/10^-S76)+2*(('[1]setup'!$C$26*'[1]setup'!$C$27)/(10^-S76^2))+3*(('[1]setup'!$C$26*'[1]setup'!$C$27*'[1]setup'!$C$28)/(10^-S76^3))))/(10^-S76^3/(10^-S76^3+'[1]setup'!$C$26*10^-S76^2+'[1]setup'!$C$26*'[1]setup'!$C$27*10^-S76+'[1]setup'!$C$26*'[1]setup'!$C$27*'[1]setup'!$C$28))</f>
        <v>27.968027694150894</v>
      </c>
      <c r="BN76" s="74"/>
      <c r="BO76" s="123">
        <f t="shared" si="47"/>
        <v>259.7722567287785</v>
      </c>
      <c r="BP76" s="123">
        <f t="shared" si="48"/>
        <v>150.01275</v>
      </c>
      <c r="BQ76" s="123">
        <f t="shared" si="49"/>
        <v>1.7316678530910103</v>
      </c>
      <c r="BR76" s="123">
        <f t="shared" si="50"/>
        <v>109.04522101449274</v>
      </c>
      <c r="BS76" s="123">
        <f t="shared" si="51"/>
        <v>1.3918901327779225</v>
      </c>
    </row>
    <row r="77" spans="1:71" ht="12.75">
      <c r="A77" s="120">
        <v>39924</v>
      </c>
      <c r="B77" s="125">
        <v>17.55</v>
      </c>
      <c r="C77" s="1" t="s">
        <v>85</v>
      </c>
      <c r="D77" s="111">
        <v>973766</v>
      </c>
      <c r="F77" s="1">
        <v>0.006</v>
      </c>
      <c r="G77" s="9">
        <v>0.002619</v>
      </c>
      <c r="H77" s="9">
        <v>0.02878</v>
      </c>
      <c r="I77" s="9">
        <v>2.917</v>
      </c>
      <c r="J77" s="9">
        <v>0.01</v>
      </c>
      <c r="K77" s="141">
        <v>0.025109</v>
      </c>
      <c r="L77" s="9">
        <v>0.005</v>
      </c>
      <c r="M77" s="9">
        <v>0.2526</v>
      </c>
      <c r="N77" s="9">
        <v>1.3</v>
      </c>
      <c r="O77" s="9">
        <v>0.4257</v>
      </c>
      <c r="P77" s="9">
        <v>3.88</v>
      </c>
      <c r="Q77" s="141">
        <v>0.6131</v>
      </c>
      <c r="R77" s="141">
        <v>4.101</v>
      </c>
      <c r="S77" s="9">
        <v>6.804</v>
      </c>
      <c r="T77" s="9">
        <v>21.5</v>
      </c>
      <c r="U77" s="9">
        <v>28.05</v>
      </c>
      <c r="V77" s="9">
        <v>0.05</v>
      </c>
      <c r="W77" s="9"/>
      <c r="X77" s="9">
        <v>0.002</v>
      </c>
      <c r="Y77" s="9">
        <v>0.002578</v>
      </c>
      <c r="Z77" s="9">
        <v>1.091</v>
      </c>
      <c r="AA77" s="9">
        <v>0.01</v>
      </c>
      <c r="AB77" s="75">
        <v>-0.025109</v>
      </c>
      <c r="AC77" s="86"/>
      <c r="AE77" s="78">
        <f t="shared" si="52"/>
        <v>0.2142857142857143</v>
      </c>
      <c r="AF77" s="78">
        <f t="shared" si="53"/>
        <v>0.09523636363636362</v>
      </c>
      <c r="AG77" s="78">
        <f t="shared" si="54"/>
        <v>3.1977777777777776</v>
      </c>
      <c r="AH77" s="78">
        <f t="shared" si="55"/>
        <v>416.7142857142857</v>
      </c>
      <c r="AI77" s="78">
        <f t="shared" si="56"/>
        <v>0.7142857142857143</v>
      </c>
      <c r="AJ77" s="78">
        <f t="shared" si="57"/>
        <v>1.7934999999999999</v>
      </c>
      <c r="AK77" s="78">
        <f t="shared" si="58"/>
        <v>0.4838709677419355</v>
      </c>
      <c r="AL77" s="78">
        <f t="shared" si="59"/>
        <v>6.476923076923076</v>
      </c>
      <c r="AM77" s="78">
        <f t="shared" si="60"/>
        <v>65</v>
      </c>
      <c r="AN77" s="78">
        <f t="shared" si="61"/>
        <v>35.475</v>
      </c>
      <c r="AO77" s="78">
        <f t="shared" si="62"/>
        <v>168.69565217391306</v>
      </c>
      <c r="AP77" s="78">
        <f t="shared" si="63"/>
        <v>38.31875</v>
      </c>
      <c r="AQ77" s="78">
        <f t="shared" si="64"/>
        <v>117.17142857142856</v>
      </c>
      <c r="AR77" s="68">
        <f t="shared" si="34"/>
        <v>0.15703628043335513</v>
      </c>
      <c r="AS77" s="78">
        <f t="shared" si="65"/>
        <v>4.838709677419355</v>
      </c>
      <c r="AT77" s="78"/>
      <c r="AU77" s="78">
        <f t="shared" si="66"/>
        <v>0.06349206349206349</v>
      </c>
      <c r="AV77" s="78">
        <f t="shared" si="67"/>
        <v>0.07932307692307691</v>
      </c>
      <c r="AW77" s="97">
        <f t="shared" si="35"/>
        <v>0.7142857142857143</v>
      </c>
      <c r="AX77" s="68">
        <f t="shared" si="36"/>
        <v>-1.7934999999999999</v>
      </c>
      <c r="AY77" s="68"/>
      <c r="AZ77" s="68">
        <f t="shared" si="37"/>
        <v>2.5077857142857143</v>
      </c>
      <c r="BA77" s="103">
        <f t="shared" si="38"/>
        <v>276.3618609651218</v>
      </c>
      <c r="BB77" s="103">
        <f t="shared" si="39"/>
        <v>157.28367857142857</v>
      </c>
      <c r="BC77" s="27">
        <f t="shared" si="40"/>
        <v>27.45979643211725</v>
      </c>
      <c r="BD77" s="79">
        <f>(('[1]setup'!$B$13*'[1]setup'!$B$14*'[1]setup'!$B$15)/10^(-S77))*10^6</f>
        <v>75.50814542407849</v>
      </c>
      <c r="BE77" s="73">
        <f t="shared" si="41"/>
        <v>10.594359669974478</v>
      </c>
      <c r="BF77" s="74">
        <f t="shared" si="42"/>
        <v>119.07818239369325</v>
      </c>
      <c r="BG77" s="72">
        <f t="shared" si="43"/>
        <v>276.5188972455552</v>
      </c>
      <c r="BH77" s="72">
        <f t="shared" si="44"/>
        <v>243.38618366548152</v>
      </c>
      <c r="BI77" s="75">
        <f t="shared" si="45"/>
        <v>6.372838965530931</v>
      </c>
      <c r="BJ77" s="58"/>
      <c r="BK77" s="92">
        <f>(3*('[1]setup'!$D$19*(10^-S77)^3)+2*('[1]setup'!$D$20*'[1]setup'!$D$19*((10^-S77)^2))+('[1]setup'!$D$21*'[1]setup'!$D$19*10^-S77)+('[1]setup'!$D$19*'[1]setup'!$D$22*(AP77/(10^6*2))*(10^-S77)^3))*10^6</f>
        <v>0.00015483147417778717</v>
      </c>
      <c r="BL77" s="93">
        <f t="shared" si="46"/>
        <v>43.7272280815223</v>
      </c>
      <c r="BM77" s="74">
        <f>(BL77/((('[1]setup'!$C$26)/10^-S77)+2*(('[1]setup'!$C$26*'[1]setup'!$C$27)/(10^-S77^2))+3*(('[1]setup'!$C$26*'[1]setup'!$C$27*'[1]setup'!$C$28)/(10^-S77^3))))/(10^-S77^3/(10^-S77^3+'[1]setup'!$C$26*10^-S77^2+'[1]setup'!$C$26*'[1]setup'!$C$27*10^-S77+'[1]setup'!$C$26*'[1]setup'!$C$27*'[1]setup'!$C$28))</f>
        <v>16.282053219587997</v>
      </c>
      <c r="BN77" s="74"/>
      <c r="BO77" s="123">
        <f t="shared" si="47"/>
        <v>276.3618609651219</v>
      </c>
      <c r="BP77" s="123">
        <f t="shared" si="48"/>
        <v>157.28367857142857</v>
      </c>
      <c r="BQ77" s="123">
        <f t="shared" si="49"/>
        <v>1.7570917941089186</v>
      </c>
      <c r="BR77" s="123">
        <f t="shared" si="50"/>
        <v>118.36389667940753</v>
      </c>
      <c r="BS77" s="123">
        <f t="shared" si="51"/>
        <v>1.4397336810746055</v>
      </c>
    </row>
    <row r="78" spans="1:71" ht="12.75">
      <c r="A78" s="124">
        <v>39937</v>
      </c>
      <c r="B78" s="125">
        <v>13.5</v>
      </c>
      <c r="C78" s="1" t="s">
        <v>85</v>
      </c>
      <c r="D78" s="111">
        <v>974352</v>
      </c>
      <c r="E78" s="89"/>
      <c r="F78" s="1">
        <v>0.006</v>
      </c>
      <c r="G78" s="9">
        <v>0.00288</v>
      </c>
      <c r="H78" s="9">
        <v>0.02561</v>
      </c>
      <c r="I78" s="9">
        <v>2.973</v>
      </c>
      <c r="J78" s="85">
        <v>0.01</v>
      </c>
      <c r="K78" s="141">
        <v>0.025815</v>
      </c>
      <c r="L78" s="85">
        <v>0.005</v>
      </c>
      <c r="M78" s="9">
        <v>0.1</v>
      </c>
      <c r="N78" s="9">
        <v>1.338</v>
      </c>
      <c r="O78" s="9">
        <v>0.4263</v>
      </c>
      <c r="P78" s="9">
        <v>3.965</v>
      </c>
      <c r="Q78" s="141">
        <v>0.6294</v>
      </c>
      <c r="R78" s="141">
        <v>4.119</v>
      </c>
      <c r="S78" s="9">
        <v>6.912</v>
      </c>
      <c r="T78" s="9">
        <v>19.3</v>
      </c>
      <c r="U78" s="9">
        <v>28.73</v>
      </c>
      <c r="V78" s="9">
        <v>0.05</v>
      </c>
      <c r="W78" s="168"/>
      <c r="X78" s="9">
        <v>0.002</v>
      </c>
      <c r="Y78" s="9">
        <v>0.002</v>
      </c>
      <c r="Z78" s="9">
        <v>0.968</v>
      </c>
      <c r="AA78" s="9">
        <v>0.01</v>
      </c>
      <c r="AB78" s="75">
        <v>-0.025814999999999998</v>
      </c>
      <c r="AE78" s="78">
        <f t="shared" si="52"/>
        <v>0.2142857142857143</v>
      </c>
      <c r="AF78" s="78">
        <f t="shared" si="53"/>
        <v>0.10472727272727274</v>
      </c>
      <c r="AG78" s="78">
        <f t="shared" si="54"/>
        <v>2.8455555555555554</v>
      </c>
      <c r="AH78" s="78">
        <f t="shared" si="55"/>
        <v>424.7142857142857</v>
      </c>
      <c r="AI78" s="78">
        <f t="shared" si="56"/>
        <v>0.7142857142857143</v>
      </c>
      <c r="AJ78" s="78">
        <f t="shared" si="57"/>
        <v>1.8439285714285714</v>
      </c>
      <c r="AK78" s="78">
        <f t="shared" si="58"/>
        <v>0.4838709677419355</v>
      </c>
      <c r="AL78" s="78">
        <f t="shared" si="59"/>
        <v>2.5641025641025643</v>
      </c>
      <c r="AM78" s="78">
        <f t="shared" si="60"/>
        <v>66.9</v>
      </c>
      <c r="AN78" s="78">
        <f t="shared" si="61"/>
        <v>35.525</v>
      </c>
      <c r="AO78" s="78">
        <f t="shared" si="62"/>
        <v>172.39130434782606</v>
      </c>
      <c r="AP78" s="78">
        <f t="shared" si="63"/>
        <v>39.3375</v>
      </c>
      <c r="AQ78" s="78">
        <f t="shared" si="64"/>
        <v>117.68571428571428</v>
      </c>
      <c r="AR78" s="68">
        <f t="shared" si="34"/>
        <v>0.1224616199265049</v>
      </c>
      <c r="AS78" s="78">
        <f t="shared" si="65"/>
        <v>4.838709677419355</v>
      </c>
      <c r="AT78" s="78"/>
      <c r="AU78" s="78">
        <f t="shared" si="66"/>
        <v>0.06349206349206349</v>
      </c>
      <c r="AV78" s="78">
        <f t="shared" si="67"/>
        <v>0.061538461538461535</v>
      </c>
      <c r="AW78" s="97">
        <f t="shared" si="35"/>
        <v>0.7142857142857143</v>
      </c>
      <c r="AX78" s="68">
        <f t="shared" si="36"/>
        <v>-1.8439285714285711</v>
      </c>
      <c r="AY78" s="68"/>
      <c r="AZ78" s="68">
        <f t="shared" si="37"/>
        <v>2.5582142857142856</v>
      </c>
      <c r="BA78" s="103">
        <f t="shared" si="38"/>
        <v>278.09469262621434</v>
      </c>
      <c r="BB78" s="103">
        <f t="shared" si="39"/>
        <v>158.86714285714285</v>
      </c>
      <c r="BC78" s="27">
        <f t="shared" si="40"/>
        <v>27.28557509769353</v>
      </c>
      <c r="BD78" s="79">
        <f>(('[1]setup'!$B$13*'[1]setup'!$B$14*'[1]setup'!$B$15)/10^(-S78))*10^6</f>
        <v>96.8264041169341</v>
      </c>
      <c r="BE78" s="73">
        <f t="shared" si="41"/>
        <v>9.439834638304246</v>
      </c>
      <c r="BF78" s="74">
        <f t="shared" si="42"/>
        <v>119.22754976907149</v>
      </c>
      <c r="BG78" s="72">
        <f t="shared" si="43"/>
        <v>278.21715424614086</v>
      </c>
      <c r="BH78" s="72">
        <f t="shared" si="44"/>
        <v>265.1333816123812</v>
      </c>
      <c r="BI78" s="75">
        <f t="shared" si="45"/>
        <v>2.4079800736897474</v>
      </c>
      <c r="BJ78" s="58"/>
      <c r="BK78" s="92">
        <f>(3*('[1]setup'!$D$19*(10^-S78)^3)+2*('[1]setup'!$D$20*'[1]setup'!$D$19*((10^-S78)^2))+('[1]setup'!$D$21*'[1]setup'!$D$19*10^-S78)+('[1]setup'!$D$19*'[1]setup'!$D$22*(AP78/(10^6*2))*(10^-S78)^3))*10^6</f>
        <v>0.00011765379013013377</v>
      </c>
      <c r="BL78" s="93">
        <f t="shared" si="46"/>
        <v>22.523724925854054</v>
      </c>
      <c r="BM78" s="74">
        <f>(BL78/((('[1]setup'!$C$26)/10^-S78)+2*(('[1]setup'!$C$26*'[1]setup'!$C$27)/(10^-S78^2))+3*(('[1]setup'!$C$26*'[1]setup'!$C$27*'[1]setup'!$C$28)/(10^-S78^3))))/(10^-S78^3/(10^-S78^3+'[1]setup'!$C$26*10^-S78^2+'[1]setup'!$C$26*'[1]setup'!$C$27*10^-S78+'[1]setup'!$C$26*'[1]setup'!$C$27*'[1]setup'!$C$28))</f>
        <v>8.22874319602205</v>
      </c>
      <c r="BN78" s="74"/>
      <c r="BO78" s="123">
        <f t="shared" si="47"/>
        <v>278.09469262621434</v>
      </c>
      <c r="BP78" s="123">
        <f t="shared" si="48"/>
        <v>158.86714285714285</v>
      </c>
      <c r="BQ78" s="123">
        <f t="shared" si="49"/>
        <v>1.7504858942184398</v>
      </c>
      <c r="BR78" s="123">
        <f t="shared" si="50"/>
        <v>118.51326405478576</v>
      </c>
      <c r="BS78" s="123">
        <f t="shared" si="51"/>
        <v>1.464844780814254</v>
      </c>
    </row>
    <row r="79" spans="1:71" ht="12.75">
      <c r="A79" s="124">
        <v>39951</v>
      </c>
      <c r="B79" s="25"/>
      <c r="C79" s="1" t="s">
        <v>85</v>
      </c>
      <c r="D79" s="111">
        <v>975891</v>
      </c>
      <c r="E79" s="89"/>
      <c r="F79" s="1">
        <v>0.006</v>
      </c>
      <c r="G79" s="9">
        <v>0.002837</v>
      </c>
      <c r="H79" s="9">
        <v>0.0241</v>
      </c>
      <c r="I79" s="9">
        <v>2.972</v>
      </c>
      <c r="J79" s="85">
        <v>0.01</v>
      </c>
      <c r="K79" s="141">
        <v>0.025401</v>
      </c>
      <c r="L79" s="85">
        <v>0.005</v>
      </c>
      <c r="M79" s="9">
        <v>0.1</v>
      </c>
      <c r="N79" s="9">
        <v>1.38</v>
      </c>
      <c r="O79" s="9">
        <v>0.4212</v>
      </c>
      <c r="P79" s="9">
        <v>3.967</v>
      </c>
      <c r="Q79" s="141">
        <v>0.598</v>
      </c>
      <c r="R79" s="141">
        <v>3.921</v>
      </c>
      <c r="S79" s="9">
        <v>6.841</v>
      </c>
      <c r="T79" s="9">
        <v>19.7</v>
      </c>
      <c r="U79" s="9">
        <v>28.69</v>
      </c>
      <c r="V79" s="9">
        <v>0.05</v>
      </c>
      <c r="W79" s="168"/>
      <c r="X79" s="9">
        <v>0.002</v>
      </c>
      <c r="Y79" s="9">
        <v>0.002</v>
      </c>
      <c r="Z79" s="9">
        <v>1.255</v>
      </c>
      <c r="AA79" s="9">
        <v>0.1208</v>
      </c>
      <c r="AB79" s="75">
        <v>0.085399</v>
      </c>
      <c r="AE79" s="78">
        <f t="shared" si="52"/>
        <v>0.2142857142857143</v>
      </c>
      <c r="AF79" s="78">
        <f t="shared" si="53"/>
        <v>0.10316363636363636</v>
      </c>
      <c r="AG79" s="78">
        <f t="shared" si="54"/>
        <v>2.677777777777778</v>
      </c>
      <c r="AH79" s="78">
        <f t="shared" si="55"/>
        <v>424.57142857142856</v>
      </c>
      <c r="AI79" s="78">
        <f t="shared" si="56"/>
        <v>0.7142857142857143</v>
      </c>
      <c r="AJ79" s="78">
        <f t="shared" si="57"/>
        <v>1.814357142857143</v>
      </c>
      <c r="AK79" s="78">
        <f t="shared" si="58"/>
        <v>0.4838709677419355</v>
      </c>
      <c r="AL79" s="78">
        <f t="shared" si="59"/>
        <v>2.5641025641025643</v>
      </c>
      <c r="AM79" s="78">
        <f t="shared" si="60"/>
        <v>68.99999999999999</v>
      </c>
      <c r="AN79" s="78">
        <f t="shared" si="61"/>
        <v>35.1</v>
      </c>
      <c r="AO79" s="78">
        <f t="shared" si="62"/>
        <v>172.47826086956522</v>
      </c>
      <c r="AP79" s="78">
        <f t="shared" si="63"/>
        <v>37.375</v>
      </c>
      <c r="AQ79" s="78">
        <f t="shared" si="64"/>
        <v>112.02857142857142</v>
      </c>
      <c r="AR79" s="68">
        <f t="shared" si="34"/>
        <v>0.14421153515248678</v>
      </c>
      <c r="AS79" s="78">
        <f t="shared" si="65"/>
        <v>4.838709677419355</v>
      </c>
      <c r="AT79" s="78"/>
      <c r="AU79" s="78">
        <f t="shared" si="66"/>
        <v>0.06349206349206349</v>
      </c>
      <c r="AV79" s="78">
        <f t="shared" si="67"/>
        <v>0.061538461538461535</v>
      </c>
      <c r="AW79" s="97">
        <f t="shared" si="35"/>
        <v>8.628571428571428</v>
      </c>
      <c r="AX79" s="68">
        <f t="shared" si="36"/>
        <v>6.099928571428571</v>
      </c>
      <c r="AY79" s="68"/>
      <c r="AZ79" s="68">
        <f t="shared" si="37"/>
        <v>2.528642857142857</v>
      </c>
      <c r="BA79" s="103">
        <f t="shared" si="38"/>
        <v>279.85664914795353</v>
      </c>
      <c r="BB79" s="103">
        <f t="shared" si="39"/>
        <v>151.21792857142856</v>
      </c>
      <c r="BC79" s="27">
        <f t="shared" si="40"/>
        <v>29.84140731682519</v>
      </c>
      <c r="BD79" s="79">
        <f>(('[1]setup'!$B$13*'[1]setup'!$B$14*'[1]setup'!$B$15)/10^(-S79))*10^6</f>
        <v>82.2230918440762</v>
      </c>
      <c r="BE79" s="73">
        <f t="shared" si="41"/>
        <v>12.205427173997832</v>
      </c>
      <c r="BF79" s="74">
        <f t="shared" si="42"/>
        <v>128.63872057652492</v>
      </c>
      <c r="BG79" s="72">
        <f t="shared" si="43"/>
        <v>280.00086068310594</v>
      </c>
      <c r="BH79" s="72">
        <f t="shared" si="44"/>
        <v>245.6464475895026</v>
      </c>
      <c r="BI79" s="75">
        <f t="shared" si="45"/>
        <v>6.535639496851875</v>
      </c>
      <c r="BJ79" s="58"/>
      <c r="BK79" s="92">
        <f>(3*('[1]setup'!$D$19*(10^-S79)^3)+2*('[1]setup'!$D$20*'[1]setup'!$D$19*((10^-S79)^2))+('[1]setup'!$D$21*'[1]setup'!$D$19*10^-S79)+('[1]setup'!$D$19*'[1]setup'!$D$22*(AP79/(10^6*2))*(10^-S79)^3))*10^6</f>
        <v>0.00014082544358583378</v>
      </c>
      <c r="BL79" s="93">
        <f t="shared" si="46"/>
        <v>46.55998109304477</v>
      </c>
      <c r="BM79" s="74">
        <f>(BL79/((('[1]setup'!$C$26)/10^-S79)+2*(('[1]setup'!$C$26*'[1]setup'!$C$27)/(10^-S79^2))+3*(('[1]setup'!$C$26*'[1]setup'!$C$27*'[1]setup'!$C$28)/(10^-S79^3))))/(10^-S79^3/(10^-S79^3+'[1]setup'!$C$26*10^-S79^2+'[1]setup'!$C$26*'[1]setup'!$C$27*10^-S79+'[1]setup'!$C$26*'[1]setup'!$C$27*'[1]setup'!$C$28))</f>
        <v>17.21941824062216</v>
      </c>
      <c r="BN79" s="74"/>
      <c r="BO79" s="123">
        <f t="shared" si="47"/>
        <v>279.8566491479535</v>
      </c>
      <c r="BP79" s="123">
        <f t="shared" si="48"/>
        <v>151.21792857142856</v>
      </c>
      <c r="BQ79" s="123">
        <f t="shared" si="49"/>
        <v>1.8506843189282398</v>
      </c>
      <c r="BR79" s="123">
        <f t="shared" si="50"/>
        <v>127.92443486223925</v>
      </c>
      <c r="BS79" s="123">
        <f t="shared" si="51"/>
        <v>1.5395917190601334</v>
      </c>
    </row>
    <row r="80" spans="1:71" ht="12.75">
      <c r="A80" s="124">
        <v>39966</v>
      </c>
      <c r="B80" s="125">
        <v>12.45</v>
      </c>
      <c r="C80" s="1" t="s">
        <v>85</v>
      </c>
      <c r="D80" s="111">
        <v>977347</v>
      </c>
      <c r="E80" s="89"/>
      <c r="F80" s="1">
        <v>0.006</v>
      </c>
      <c r="G80" s="9">
        <v>0.00254</v>
      </c>
      <c r="H80" s="9">
        <v>0.02193</v>
      </c>
      <c r="I80" s="9">
        <v>3.149</v>
      </c>
      <c r="J80" s="9">
        <v>0.021</v>
      </c>
      <c r="K80" s="141">
        <v>0.025</v>
      </c>
      <c r="L80" s="9">
        <v>0.007</v>
      </c>
      <c r="M80" s="9">
        <v>0.2696</v>
      </c>
      <c r="N80" s="9">
        <v>1.216</v>
      </c>
      <c r="O80" s="9">
        <v>0.3631</v>
      </c>
      <c r="P80" s="9">
        <v>3.599</v>
      </c>
      <c r="Q80" s="141">
        <v>0.6109</v>
      </c>
      <c r="R80" s="141">
        <v>4.091</v>
      </c>
      <c r="S80" s="9">
        <v>6.914</v>
      </c>
      <c r="T80" s="9">
        <v>21.2</v>
      </c>
      <c r="U80" s="9">
        <v>28.74</v>
      </c>
      <c r="V80" s="9">
        <v>0.05</v>
      </c>
      <c r="W80" s="168"/>
      <c r="X80" s="9">
        <v>0.002</v>
      </c>
      <c r="Y80" s="9">
        <v>0.00235</v>
      </c>
      <c r="Z80" s="9">
        <v>1.05</v>
      </c>
      <c r="AA80" s="9">
        <v>0.2178</v>
      </c>
      <c r="AB80" s="75">
        <v>0.1718</v>
      </c>
      <c r="AE80" s="78">
        <f t="shared" si="52"/>
        <v>0.2142857142857143</v>
      </c>
      <c r="AF80" s="78">
        <f t="shared" si="53"/>
        <v>0.09236363636363637</v>
      </c>
      <c r="AG80" s="78">
        <f t="shared" si="54"/>
        <v>2.436666666666667</v>
      </c>
      <c r="AH80" s="78">
        <f t="shared" si="55"/>
        <v>449.85714285714283</v>
      </c>
      <c r="AI80" s="78">
        <f t="shared" si="56"/>
        <v>1.5</v>
      </c>
      <c r="AJ80" s="78">
        <f t="shared" si="57"/>
        <v>1.7857142857142858</v>
      </c>
      <c r="AK80" s="78">
        <f t="shared" si="58"/>
        <v>0.6774193548387097</v>
      </c>
      <c r="AL80" s="78">
        <f t="shared" si="59"/>
        <v>6.912820512820513</v>
      </c>
      <c r="AM80" s="78">
        <f t="shared" si="60"/>
        <v>60.8</v>
      </c>
      <c r="AN80" s="78">
        <f t="shared" si="61"/>
        <v>30.258333333333333</v>
      </c>
      <c r="AO80" s="78">
        <f t="shared" si="62"/>
        <v>156.47826086956525</v>
      </c>
      <c r="AP80" s="78">
        <f t="shared" si="63"/>
        <v>38.18125</v>
      </c>
      <c r="AQ80" s="78">
        <f t="shared" si="64"/>
        <v>116.88571428571429</v>
      </c>
      <c r="AR80" s="68">
        <f t="shared" si="34"/>
        <v>0.12189895989248671</v>
      </c>
      <c r="AS80" s="78">
        <f t="shared" si="65"/>
        <v>4.838709677419355</v>
      </c>
      <c r="AT80" s="78"/>
      <c r="AU80" s="78">
        <f t="shared" si="66"/>
        <v>0.06349206349206349</v>
      </c>
      <c r="AV80" s="78">
        <f t="shared" si="67"/>
        <v>0.07230769230769231</v>
      </c>
      <c r="AW80" s="97">
        <f t="shared" si="35"/>
        <v>15.557142857142857</v>
      </c>
      <c r="AX80" s="68">
        <f t="shared" si="36"/>
        <v>12.271428571428572</v>
      </c>
      <c r="AY80" s="68"/>
      <c r="AZ80" s="68">
        <f t="shared" si="37"/>
        <v>3.2857142857142856</v>
      </c>
      <c r="BA80" s="103">
        <f t="shared" si="38"/>
        <v>255.9494147157191</v>
      </c>
      <c r="BB80" s="103">
        <f t="shared" si="39"/>
        <v>156.85267857142856</v>
      </c>
      <c r="BC80" s="27">
        <f t="shared" si="40"/>
        <v>24.005870550505723</v>
      </c>
      <c r="BD80" s="79">
        <f>(('[1]setup'!$B$13*'[1]setup'!$B$14*'[1]setup'!$B$15)/10^(-S80))*10^6</f>
        <v>97.273334491749</v>
      </c>
      <c r="BE80" s="73">
        <f t="shared" si="41"/>
        <v>10.240236840893045</v>
      </c>
      <c r="BF80" s="74">
        <f t="shared" si="42"/>
        <v>99.09673614429053</v>
      </c>
      <c r="BG80" s="72">
        <f t="shared" si="43"/>
        <v>256.0713136756116</v>
      </c>
      <c r="BH80" s="72">
        <f t="shared" si="44"/>
        <v>264.36624990407057</v>
      </c>
      <c r="BI80" s="75">
        <f t="shared" si="45"/>
        <v>1.5938388788473739</v>
      </c>
      <c r="BJ80" s="58"/>
      <c r="BK80" s="92">
        <f>(3*('[1]setup'!$D$19*(10^-S80)^3)+2*('[1]setup'!$D$20*'[1]setup'!$D$19*((10^-S80)^2))+('[1]setup'!$D$21*'[1]setup'!$D$19*10^-S80)+('[1]setup'!$D$19*'[1]setup'!$D$22*(AP80/(10^6*2))*(10^-S80)^3))*10^6</f>
        <v>0.00011706382806386612</v>
      </c>
      <c r="BL80" s="93">
        <f t="shared" si="46"/>
        <v>1.9454176762620818</v>
      </c>
      <c r="BM80" s="74">
        <f>(BL80/((('[1]setup'!$C$26)/10^-S80)+2*(('[1]setup'!$C$26*'[1]setup'!$C$27)/(10^-S80^2))+3*(('[1]setup'!$C$26*'[1]setup'!$C$27*'[1]setup'!$C$28)/(10^-S80^3))))/(10^-S80^3/(10^-S80^3+'[1]setup'!$C$26*10^-S80^2+'[1]setup'!$C$26*'[1]setup'!$C$27*10^-S80+'[1]setup'!$C$26*'[1]setup'!$C$27*'[1]setup'!$C$28))</f>
        <v>0.7104986706532083</v>
      </c>
      <c r="BN80" s="74"/>
      <c r="BO80" s="123">
        <f t="shared" si="47"/>
        <v>255.9494147157191</v>
      </c>
      <c r="BP80" s="123">
        <f t="shared" si="48"/>
        <v>156.85267857142856</v>
      </c>
      <c r="BQ80" s="123">
        <f t="shared" si="49"/>
        <v>1.6317822369808193</v>
      </c>
      <c r="BR80" s="123">
        <f t="shared" si="50"/>
        <v>97.59673614429053</v>
      </c>
      <c r="BS80" s="123">
        <f t="shared" si="51"/>
        <v>1.338728704579512</v>
      </c>
    </row>
    <row r="81" spans="1:71" ht="12.75">
      <c r="A81" s="102">
        <v>40049</v>
      </c>
      <c r="B81" s="125">
        <v>16.25</v>
      </c>
      <c r="C81" s="1" t="s">
        <v>85</v>
      </c>
      <c r="D81" s="111">
        <v>990722</v>
      </c>
      <c r="F81" s="1">
        <v>0.006</v>
      </c>
      <c r="G81" s="9">
        <v>0.002061</v>
      </c>
      <c r="H81" s="9">
        <v>0.08769</v>
      </c>
      <c r="I81" s="9">
        <v>2.4</v>
      </c>
      <c r="J81" s="9">
        <v>0.01654</v>
      </c>
      <c r="K81" s="141">
        <v>0.025721</v>
      </c>
      <c r="L81" s="9">
        <v>0.005</v>
      </c>
      <c r="M81" s="9">
        <v>0.1</v>
      </c>
      <c r="N81" s="9">
        <v>1.021</v>
      </c>
      <c r="O81" s="9">
        <v>0.3645</v>
      </c>
      <c r="P81" s="9">
        <v>3.261</v>
      </c>
      <c r="Q81" s="141">
        <v>0.5312</v>
      </c>
      <c r="R81" s="141">
        <v>3.991</v>
      </c>
      <c r="S81" s="9">
        <v>6.631</v>
      </c>
      <c r="T81" s="9">
        <v>17.4</v>
      </c>
      <c r="U81" s="9">
        <v>26.67</v>
      </c>
      <c r="V81" s="9">
        <v>0.05</v>
      </c>
      <c r="W81" s="168"/>
      <c r="X81" s="9">
        <v>0.002</v>
      </c>
      <c r="Y81" s="9">
        <v>0.002265</v>
      </c>
      <c r="Z81" s="9">
        <v>3.155</v>
      </c>
      <c r="AA81" s="9">
        <v>0.1025</v>
      </c>
      <c r="AB81" s="75">
        <v>0.060238999999999994</v>
      </c>
      <c r="AE81" s="78">
        <f t="shared" si="52"/>
        <v>0.2142857142857143</v>
      </c>
      <c r="AF81" s="78">
        <f t="shared" si="53"/>
        <v>0.07494545454545455</v>
      </c>
      <c r="AG81" s="78">
        <f t="shared" si="54"/>
        <v>9.743333333333332</v>
      </c>
      <c r="AH81" s="78">
        <f t="shared" si="55"/>
        <v>342.85714285714283</v>
      </c>
      <c r="AI81" s="78">
        <f t="shared" si="56"/>
        <v>1.1814285714285713</v>
      </c>
      <c r="AJ81" s="78">
        <f t="shared" si="57"/>
        <v>1.8372142857142857</v>
      </c>
      <c r="AK81" s="78">
        <f t="shared" si="58"/>
        <v>0.4838709677419355</v>
      </c>
      <c r="AL81" s="78">
        <f t="shared" si="59"/>
        <v>2.5641025641025643</v>
      </c>
      <c r="AM81" s="78">
        <f t="shared" si="60"/>
        <v>51.05</v>
      </c>
      <c r="AN81" s="78">
        <f t="shared" si="61"/>
        <v>30.375</v>
      </c>
      <c r="AO81" s="78">
        <f t="shared" si="62"/>
        <v>141.7826086956522</v>
      </c>
      <c r="AP81" s="78">
        <f t="shared" si="63"/>
        <v>33.2</v>
      </c>
      <c r="AQ81" s="78">
        <f t="shared" si="64"/>
        <v>114.02857142857144</v>
      </c>
      <c r="AR81" s="68">
        <f t="shared" si="34"/>
        <v>0.2338837238659353</v>
      </c>
      <c r="AS81" s="78">
        <f t="shared" si="65"/>
        <v>4.838709677419355</v>
      </c>
      <c r="AT81" s="78"/>
      <c r="AU81" s="78">
        <f t="shared" si="66"/>
        <v>0.06349206349206349</v>
      </c>
      <c r="AV81" s="78">
        <f t="shared" si="67"/>
        <v>0.06969230769230769</v>
      </c>
      <c r="AW81" s="97">
        <f t="shared" si="35"/>
        <v>7.321428571428571</v>
      </c>
      <c r="AX81" s="68">
        <f t="shared" si="36"/>
        <v>4.302785714285714</v>
      </c>
      <c r="AY81" s="68"/>
      <c r="AZ81" s="68">
        <f t="shared" si="37"/>
        <v>3.018642857142857</v>
      </c>
      <c r="BA81" s="103">
        <f t="shared" si="38"/>
        <v>226.9531398311833</v>
      </c>
      <c r="BB81" s="103">
        <f t="shared" si="39"/>
        <v>149.06578571428574</v>
      </c>
      <c r="BC81" s="27">
        <f t="shared" si="40"/>
        <v>20.713679239392235</v>
      </c>
      <c r="BD81" s="79">
        <f>(('[1]setup'!$B$13*'[1]setup'!$B$14*'[1]setup'!$B$15)/10^(-S81))*10^6</f>
        <v>50.698347468654994</v>
      </c>
      <c r="BE81" s="73">
        <f t="shared" si="41"/>
        <v>30.389134119469357</v>
      </c>
      <c r="BF81" s="74">
        <f t="shared" si="42"/>
        <v>77.8873541168976</v>
      </c>
      <c r="BG81" s="72">
        <f t="shared" si="43"/>
        <v>227.18702355504928</v>
      </c>
      <c r="BH81" s="72">
        <f t="shared" si="44"/>
        <v>230.1532673024101</v>
      </c>
      <c r="BI81" s="75">
        <f t="shared" si="45"/>
        <v>0.6485857044870129</v>
      </c>
      <c r="BJ81" s="58"/>
      <c r="BK81" s="92">
        <f>(3*('[1]setup'!$D$19*(10^-S81)^3)+2*('[1]setup'!$D$20*'[1]setup'!$D$19*((10^-S81)^2))+('[1]setup'!$D$21*'[1]setup'!$D$19*10^-S81)+('[1]setup'!$D$19*'[1]setup'!$D$22*(AP81/(10^6*2))*(10^-S81)^3))*10^6</f>
        <v>0.0002443118639658921</v>
      </c>
      <c r="BL81" s="93">
        <f t="shared" si="46"/>
        <v>27.423134683972506</v>
      </c>
      <c r="BM81" s="74">
        <f>(BL81/((('[1]setup'!$C$26)/10^-S81)+2*(('[1]setup'!$C$26*'[1]setup'!$C$27)/(10^-S81^2))+3*(('[1]setup'!$C$26*'[1]setup'!$C$27*'[1]setup'!$C$28)/(10^-S81^3))))/(10^-S81^3/(10^-S81^3+'[1]setup'!$C$26*10^-S81^2+'[1]setup'!$C$26*'[1]setup'!$C$27*10^-S81+'[1]setup'!$C$26*'[1]setup'!$C$27*'[1]setup'!$C$28))</f>
        <v>10.578579638257542</v>
      </c>
      <c r="BN81" s="74"/>
      <c r="BO81" s="123">
        <f t="shared" si="47"/>
        <v>226.9531398311833</v>
      </c>
      <c r="BP81" s="123">
        <f t="shared" si="48"/>
        <v>149.06578571428574</v>
      </c>
      <c r="BQ81" s="123">
        <f t="shared" si="49"/>
        <v>1.5225032273078694</v>
      </c>
      <c r="BR81" s="123">
        <f t="shared" si="50"/>
        <v>76.705925545469</v>
      </c>
      <c r="BS81" s="123">
        <f t="shared" si="51"/>
        <v>1.2433954658851982</v>
      </c>
    </row>
    <row r="82" spans="1:71" ht="12.75">
      <c r="A82" s="102">
        <v>40063</v>
      </c>
      <c r="B82" s="16">
        <v>16</v>
      </c>
      <c r="C82" s="1" t="s">
        <v>85</v>
      </c>
      <c r="D82" s="111">
        <v>992646</v>
      </c>
      <c r="F82" s="1">
        <v>0.006</v>
      </c>
      <c r="G82" s="9">
        <v>0.00255</v>
      </c>
      <c r="H82" s="9">
        <v>0.1494</v>
      </c>
      <c r="I82" s="9">
        <v>1.716</v>
      </c>
      <c r="J82" s="9">
        <v>0.016</v>
      </c>
      <c r="K82" s="141">
        <v>0.025</v>
      </c>
      <c r="L82" s="9">
        <v>0.005151</v>
      </c>
      <c r="M82" s="9">
        <v>0.226</v>
      </c>
      <c r="N82" s="9">
        <v>0.7792</v>
      </c>
      <c r="O82" s="9">
        <v>0.3048</v>
      </c>
      <c r="P82" s="9">
        <v>3.08</v>
      </c>
      <c r="Q82" s="141">
        <v>0.4912</v>
      </c>
      <c r="R82" s="141">
        <v>3.502</v>
      </c>
      <c r="S82" s="9">
        <v>6.07</v>
      </c>
      <c r="T82" s="9">
        <v>14.5</v>
      </c>
      <c r="U82" s="9">
        <v>23.25</v>
      </c>
      <c r="V82" s="9">
        <v>0.05</v>
      </c>
      <c r="W82" s="168"/>
      <c r="X82" s="9">
        <v>0.002</v>
      </c>
      <c r="Y82" s="9">
        <v>0.002071</v>
      </c>
      <c r="Z82" s="9">
        <v>4.241</v>
      </c>
      <c r="AA82" s="9">
        <v>0.112</v>
      </c>
      <c r="AB82" s="75">
        <v>0.07100000000000001</v>
      </c>
      <c r="AE82" s="78">
        <f t="shared" si="52"/>
        <v>0.2142857142857143</v>
      </c>
      <c r="AF82" s="78">
        <f t="shared" si="53"/>
        <v>0.09272727272727274</v>
      </c>
      <c r="AG82" s="78">
        <f t="shared" si="54"/>
        <v>16.6</v>
      </c>
      <c r="AH82" s="78">
        <f t="shared" si="55"/>
        <v>245.14285714285714</v>
      </c>
      <c r="AI82" s="78">
        <f t="shared" si="56"/>
        <v>1.142857142857143</v>
      </c>
      <c r="AJ82" s="78">
        <f t="shared" si="57"/>
        <v>1.7857142857142858</v>
      </c>
      <c r="AK82" s="78">
        <f t="shared" si="58"/>
        <v>0.49848387096774205</v>
      </c>
      <c r="AL82" s="78">
        <f t="shared" si="59"/>
        <v>5.794871794871796</v>
      </c>
      <c r="AM82" s="78">
        <f t="shared" si="60"/>
        <v>38.96</v>
      </c>
      <c r="AN82" s="78">
        <f t="shared" si="61"/>
        <v>25.400000000000002</v>
      </c>
      <c r="AO82" s="78">
        <f t="shared" si="62"/>
        <v>133.91304347826087</v>
      </c>
      <c r="AP82" s="78">
        <f t="shared" si="63"/>
        <v>30.700000000000003</v>
      </c>
      <c r="AQ82" s="78">
        <f t="shared" si="64"/>
        <v>100.05714285714285</v>
      </c>
      <c r="AR82" s="68">
        <f t="shared" si="34"/>
        <v>0.8511380382023759</v>
      </c>
      <c r="AS82" s="78">
        <f t="shared" si="65"/>
        <v>4.838709677419355</v>
      </c>
      <c r="AT82" s="78"/>
      <c r="AU82" s="78">
        <f t="shared" si="66"/>
        <v>0.06349206349206349</v>
      </c>
      <c r="AV82" s="78">
        <f t="shared" si="67"/>
        <v>0.06372307692307691</v>
      </c>
      <c r="AW82" s="97">
        <f t="shared" si="35"/>
        <v>8</v>
      </c>
      <c r="AX82" s="68">
        <f t="shared" si="36"/>
        <v>5.071428571428572</v>
      </c>
      <c r="AY82" s="68"/>
      <c r="AZ82" s="68">
        <f t="shared" si="37"/>
        <v>2.928571428571429</v>
      </c>
      <c r="BA82" s="103">
        <f t="shared" si="38"/>
        <v>205.2107724159898</v>
      </c>
      <c r="BB82" s="103">
        <f t="shared" si="39"/>
        <v>132.54285714285714</v>
      </c>
      <c r="BC82" s="27">
        <f t="shared" si="40"/>
        <v>21.51506569094373</v>
      </c>
      <c r="BD82" s="79">
        <f>(('[1]setup'!$B$13*'[1]setup'!$B$14*'[1]setup'!$B$15)/10^(-S82))*10^6</f>
        <v>13.931369258107093</v>
      </c>
      <c r="BE82" s="73">
        <f t="shared" si="41"/>
        <v>39.18061276789896</v>
      </c>
      <c r="BF82" s="74">
        <f t="shared" si="42"/>
        <v>72.66791527313268</v>
      </c>
      <c r="BG82" s="72">
        <f t="shared" si="43"/>
        <v>206.0619104541922</v>
      </c>
      <c r="BH82" s="72">
        <f t="shared" si="44"/>
        <v>185.6548391688632</v>
      </c>
      <c r="BI82" s="75">
        <f t="shared" si="45"/>
        <v>5.209649907737289</v>
      </c>
      <c r="BJ82" s="58"/>
      <c r="BK82" s="92">
        <f>(3*('[1]setup'!$D$19*(10^-S82)^3)+2*('[1]setup'!$D$20*'[1]setup'!$D$19*((10^-S82)^2))+('[1]setup'!$D$21*'[1]setup'!$D$19*10^-S82)+('[1]setup'!$D$19*'[1]setup'!$D$22*(AP82/(10^6*2))*(10^-S82)^3))*10^6</f>
        <v>0.0013997640980679114</v>
      </c>
      <c r="BL82" s="93">
        <f t="shared" si="46"/>
        <v>59.58908381732604</v>
      </c>
      <c r="BM82" s="74">
        <f>(BL82/((('[1]setup'!$C$26)/10^-S82)+2*(('[1]setup'!$C$26*'[1]setup'!$C$27)/(10^-S82^2))+3*(('[1]setup'!$C$26*'[1]setup'!$C$27*'[1]setup'!$C$28)/(10^-S82^3))))/(10^-S82^3/(10^-S82^3+'[1]setup'!$C$26*10^-S82^2+'[1]setup'!$C$26*'[1]setup'!$C$27*10^-S82+'[1]setup'!$C$26*'[1]setup'!$C$27*'[1]setup'!$C$28))</f>
        <v>26.312489400826045</v>
      </c>
      <c r="BN82" s="74"/>
      <c r="BO82" s="123">
        <f t="shared" si="47"/>
        <v>205.21077241598982</v>
      </c>
      <c r="BP82" s="123">
        <f t="shared" si="48"/>
        <v>132.54285714285714</v>
      </c>
      <c r="BQ82" s="123">
        <f t="shared" si="49"/>
        <v>1.5482597617071876</v>
      </c>
      <c r="BR82" s="123">
        <f t="shared" si="50"/>
        <v>71.52505813027551</v>
      </c>
      <c r="BS82" s="123">
        <f t="shared" si="51"/>
        <v>1.338365654408661</v>
      </c>
    </row>
    <row r="83" spans="1:71" ht="12.75">
      <c r="A83" s="102">
        <v>40078</v>
      </c>
      <c r="B83" s="16">
        <v>11.3</v>
      </c>
      <c r="C83" s="1" t="s">
        <v>85</v>
      </c>
      <c r="D83" s="111">
        <v>994165</v>
      </c>
      <c r="F83" s="1">
        <v>0.006</v>
      </c>
      <c r="G83" s="9">
        <v>0.002102</v>
      </c>
      <c r="H83" s="9">
        <v>0.03459</v>
      </c>
      <c r="I83" s="9">
        <v>2.034</v>
      </c>
      <c r="J83" s="9">
        <v>0.017</v>
      </c>
      <c r="K83" s="141">
        <v>0.025531</v>
      </c>
      <c r="L83" s="9">
        <v>0.005</v>
      </c>
      <c r="M83" s="9">
        <v>0.2729</v>
      </c>
      <c r="N83" s="9">
        <v>1.173</v>
      </c>
      <c r="O83" s="9">
        <v>0.3764</v>
      </c>
      <c r="P83" s="9">
        <v>3.551</v>
      </c>
      <c r="Q83" s="141">
        <v>0.6189</v>
      </c>
      <c r="R83" s="141">
        <v>4.176</v>
      </c>
      <c r="S83" s="9">
        <v>6.831</v>
      </c>
      <c r="T83" s="9">
        <v>18</v>
      </c>
      <c r="U83" s="9">
        <v>28.46</v>
      </c>
      <c r="V83" s="9">
        <v>0.05</v>
      </c>
      <c r="W83" s="168"/>
      <c r="X83" s="9">
        <v>0.002</v>
      </c>
      <c r="Y83" s="9">
        <v>0.002</v>
      </c>
      <c r="Z83" s="9">
        <v>1.479</v>
      </c>
      <c r="AA83" s="9">
        <v>0.1011</v>
      </c>
      <c r="AB83" s="75">
        <v>0.058568999999999996</v>
      </c>
      <c r="AE83" s="78">
        <f t="shared" si="52"/>
        <v>0.2142857142857143</v>
      </c>
      <c r="AF83" s="78">
        <f t="shared" si="53"/>
        <v>0.07643636363636364</v>
      </c>
      <c r="AG83" s="78">
        <f t="shared" si="54"/>
        <v>3.8433333333333333</v>
      </c>
      <c r="AH83" s="78">
        <f t="shared" si="55"/>
        <v>290.57142857142856</v>
      </c>
      <c r="AI83" s="78">
        <f t="shared" si="56"/>
        <v>1.2142857142857144</v>
      </c>
      <c r="AJ83" s="78">
        <f t="shared" si="57"/>
        <v>1.8236428571428571</v>
      </c>
      <c r="AK83" s="78">
        <f t="shared" si="58"/>
        <v>0.4838709677419355</v>
      </c>
      <c r="AL83" s="78">
        <f t="shared" si="59"/>
        <v>6.9974358974358974</v>
      </c>
      <c r="AM83" s="78">
        <f t="shared" si="60"/>
        <v>58.65</v>
      </c>
      <c r="AN83" s="78">
        <f t="shared" si="61"/>
        <v>31.366666666666667</v>
      </c>
      <c r="AO83" s="78">
        <f t="shared" si="62"/>
        <v>154.3913043478261</v>
      </c>
      <c r="AP83" s="78">
        <f t="shared" si="63"/>
        <v>38.68125</v>
      </c>
      <c r="AQ83" s="78">
        <f t="shared" si="64"/>
        <v>119.31428571428572</v>
      </c>
      <c r="AR83" s="68">
        <f t="shared" si="34"/>
        <v>0.14757065332758926</v>
      </c>
      <c r="AS83" s="78">
        <f t="shared" si="65"/>
        <v>4.838709677419355</v>
      </c>
      <c r="AT83" s="78"/>
      <c r="AU83" s="78">
        <f t="shared" si="66"/>
        <v>0.06349206349206349</v>
      </c>
      <c r="AV83" s="78">
        <f t="shared" si="67"/>
        <v>0.061538461538461535</v>
      </c>
      <c r="AW83" s="97">
        <f t="shared" si="35"/>
        <v>7.2214285714285715</v>
      </c>
      <c r="AX83" s="68">
        <f t="shared" si="36"/>
        <v>4.1834999999999996</v>
      </c>
      <c r="AY83" s="68"/>
      <c r="AZ83" s="68">
        <f t="shared" si="37"/>
        <v>3.0379285714285715</v>
      </c>
      <c r="BA83" s="103">
        <f t="shared" si="38"/>
        <v>252.61969262621437</v>
      </c>
      <c r="BB83" s="103">
        <f t="shared" si="39"/>
        <v>159.81917857142858</v>
      </c>
      <c r="BC83" s="27">
        <f t="shared" si="40"/>
        <v>22.500428678148353</v>
      </c>
      <c r="BD83" s="79">
        <f>(('[1]setup'!$B$13*'[1]setup'!$B$14*'[1]setup'!$B$15)/10^(-S83))*10^6</f>
        <v>80.35146577209956</v>
      </c>
      <c r="BE83" s="73">
        <f t="shared" si="41"/>
        <v>14.37812781751438</v>
      </c>
      <c r="BF83" s="74">
        <f t="shared" si="42"/>
        <v>92.80051405478582</v>
      </c>
      <c r="BG83" s="72">
        <f t="shared" si="43"/>
        <v>252.767263279542</v>
      </c>
      <c r="BH83" s="72">
        <f t="shared" si="44"/>
        <v>254.5487721610425</v>
      </c>
      <c r="BI83" s="75">
        <f t="shared" si="45"/>
        <v>0.3511635266867411</v>
      </c>
      <c r="BJ83" s="58"/>
      <c r="BK83" s="92">
        <f>(3*('[1]setup'!$D$19*(10^-S83)^3)+2*('[1]setup'!$D$20*'[1]setup'!$D$19*((10^-S83)^2))+('[1]setup'!$D$21*'[1]setup'!$D$19*10^-S83)+('[1]setup'!$D$19*'[1]setup'!$D$22*(AP83/(10^6*2))*(10^-S83)^3))*10^6</f>
        <v>0.0001444692874293318</v>
      </c>
      <c r="BL83" s="93">
        <f t="shared" si="46"/>
        <v>12.596763405301289</v>
      </c>
      <c r="BM83" s="74">
        <f>(BL83/((('[1]setup'!$C$26)/10^-S83)+2*(('[1]setup'!$C$26*'[1]setup'!$C$27)/(10^-S83^2))+3*(('[1]setup'!$C$26*'[1]setup'!$C$27*'[1]setup'!$C$28)/(10^-S83^3))))/(10^-S83^3/(10^-S83^3+'[1]setup'!$C$26*10^-S83^2+'[1]setup'!$C$26*'[1]setup'!$C$27*10^-S83+'[1]setup'!$C$26*'[1]setup'!$C$27*'[1]setup'!$C$28))</f>
        <v>4.6671325085329975</v>
      </c>
      <c r="BN83" s="74"/>
      <c r="BO83" s="123">
        <f t="shared" si="47"/>
        <v>252.61969262621437</v>
      </c>
      <c r="BP83" s="123">
        <f t="shared" si="48"/>
        <v>159.81917857142858</v>
      </c>
      <c r="BQ83" s="123">
        <f t="shared" si="49"/>
        <v>1.5806594357717219</v>
      </c>
      <c r="BR83" s="123">
        <f t="shared" si="50"/>
        <v>91.58622834050007</v>
      </c>
      <c r="BS83" s="123">
        <f t="shared" si="51"/>
        <v>1.293988422455439</v>
      </c>
    </row>
    <row r="84" spans="1:71" ht="12.75">
      <c r="A84" s="102">
        <v>40091</v>
      </c>
      <c r="B84" s="16">
        <v>15.4</v>
      </c>
      <c r="C84" s="1" t="s">
        <v>85</v>
      </c>
      <c r="D84" s="111">
        <v>994606</v>
      </c>
      <c r="F84" s="1">
        <v>0.006</v>
      </c>
      <c r="G84" s="9">
        <v>0.002913</v>
      </c>
      <c r="H84" s="9">
        <v>0.1089</v>
      </c>
      <c r="I84" s="9">
        <v>1.967</v>
      </c>
      <c r="J84" s="9">
        <v>0.01</v>
      </c>
      <c r="K84" s="141">
        <v>0.025689</v>
      </c>
      <c r="L84" s="9">
        <v>0.005</v>
      </c>
      <c r="M84" s="9">
        <v>0.2465</v>
      </c>
      <c r="N84" s="9">
        <v>0.8831</v>
      </c>
      <c r="O84" s="9">
        <v>0.3275</v>
      </c>
      <c r="P84" s="9">
        <v>3.048</v>
      </c>
      <c r="Q84" s="141">
        <v>0.5048</v>
      </c>
      <c r="R84" s="141">
        <v>3.835</v>
      </c>
      <c r="S84" s="9">
        <v>6.48</v>
      </c>
      <c r="T84" s="9">
        <v>14.5</v>
      </c>
      <c r="U84" s="9">
        <v>26.71</v>
      </c>
      <c r="V84" s="9">
        <v>0.05</v>
      </c>
      <c r="W84" s="168"/>
      <c r="X84" s="9">
        <v>0.002</v>
      </c>
      <c r="Y84" s="9">
        <v>0.002</v>
      </c>
      <c r="Z84" s="9">
        <v>3.791</v>
      </c>
      <c r="AA84" s="9">
        <v>0.01</v>
      </c>
      <c r="AB84" s="75">
        <v>-0.025688999999999997</v>
      </c>
      <c r="AE84" s="78">
        <f t="shared" si="52"/>
        <v>0.2142857142857143</v>
      </c>
      <c r="AF84" s="78">
        <f t="shared" si="53"/>
        <v>0.10592727272727272</v>
      </c>
      <c r="AG84" s="78">
        <f t="shared" si="54"/>
        <v>12.1</v>
      </c>
      <c r="AH84" s="78">
        <f t="shared" si="55"/>
        <v>281</v>
      </c>
      <c r="AI84" s="78">
        <f t="shared" si="56"/>
        <v>0.7142857142857143</v>
      </c>
      <c r="AJ84" s="78">
        <f t="shared" si="57"/>
        <v>1.8349285714285712</v>
      </c>
      <c r="AK84" s="78">
        <f t="shared" si="58"/>
        <v>0.4838709677419355</v>
      </c>
      <c r="AL84" s="78">
        <f t="shared" si="59"/>
        <v>6.32051282051282</v>
      </c>
      <c r="AM84" s="78">
        <f t="shared" si="60"/>
        <v>44.155</v>
      </c>
      <c r="AN84" s="78">
        <f t="shared" si="61"/>
        <v>27.291666666666668</v>
      </c>
      <c r="AO84" s="78">
        <f t="shared" si="62"/>
        <v>132.52173913043478</v>
      </c>
      <c r="AP84" s="78">
        <f t="shared" si="63"/>
        <v>31.55</v>
      </c>
      <c r="AQ84" s="78">
        <f t="shared" si="64"/>
        <v>109.57142857142857</v>
      </c>
      <c r="AR84" s="68">
        <f t="shared" si="34"/>
        <v>0.3311311214825907</v>
      </c>
      <c r="AS84" s="78">
        <f t="shared" si="65"/>
        <v>4.838709677419355</v>
      </c>
      <c r="AT84" s="78"/>
      <c r="AU84" s="78">
        <f t="shared" si="66"/>
        <v>0.06349206349206349</v>
      </c>
      <c r="AV84" s="78">
        <f t="shared" si="67"/>
        <v>0.061538461538461535</v>
      </c>
      <c r="AW84" s="97">
        <f t="shared" si="35"/>
        <v>0.7142857142857143</v>
      </c>
      <c r="AX84" s="68">
        <f t="shared" si="36"/>
        <v>-1.834928571428571</v>
      </c>
      <c r="AY84" s="68"/>
      <c r="AZ84" s="68">
        <f t="shared" si="37"/>
        <v>2.5492142857142857</v>
      </c>
      <c r="BA84" s="103">
        <f t="shared" si="38"/>
        <v>211.0032043319</v>
      </c>
      <c r="BB84" s="103">
        <f t="shared" si="39"/>
        <v>142.95635714285714</v>
      </c>
      <c r="BC84" s="27">
        <f t="shared" si="40"/>
        <v>19.22446928839233</v>
      </c>
      <c r="BD84" s="79">
        <f>(('[1]setup'!$B$13*'[1]setup'!$B$14*'[1]setup'!$B$15)/10^(-S84))*10^6</f>
        <v>35.80913278923425</v>
      </c>
      <c r="BE84" s="73">
        <f t="shared" si="41"/>
        <v>36.19967339214328</v>
      </c>
      <c r="BF84" s="74">
        <f t="shared" si="42"/>
        <v>68.04684718904286</v>
      </c>
      <c r="BG84" s="72">
        <f t="shared" si="43"/>
        <v>211.3343354533826</v>
      </c>
      <c r="BH84" s="72">
        <f t="shared" si="44"/>
        <v>214.96516332423465</v>
      </c>
      <c r="BI84" s="75">
        <f t="shared" si="45"/>
        <v>0.8517082195177754</v>
      </c>
      <c r="BJ84" s="58"/>
      <c r="BK84" s="92">
        <f>(3*('[1]setup'!$D$19*(10^-S84)^3)+2*('[1]setup'!$D$20*'[1]setup'!$D$19*((10^-S84)^2))+('[1]setup'!$D$21*'[1]setup'!$D$19*10^-S84)+('[1]setup'!$D$19*'[1]setup'!$D$22*(AP84/(10^6*2))*(10^-S84)^3))*10^6</f>
        <v>0.00037215114992069466</v>
      </c>
      <c r="BL84" s="93">
        <f t="shared" si="46"/>
        <v>32.56921767244114</v>
      </c>
      <c r="BM84" s="74">
        <f>(BL84/((('[1]setup'!$C$26)/10^-S84)+2*(('[1]setup'!$C$26*'[1]setup'!$C$27)/(10^-S84^2))+3*(('[1]setup'!$C$26*'[1]setup'!$C$27*'[1]setup'!$C$28)/(10^-S84^3))))/(10^-S84^3/(10^-S84^3+'[1]setup'!$C$26*10^-S84^2+'[1]setup'!$C$26*'[1]setup'!$C$27*10^-S84+'[1]setup'!$C$26*'[1]setup'!$C$27*'[1]setup'!$C$28))</f>
        <v>13.008768571614727</v>
      </c>
      <c r="BN84" s="74"/>
      <c r="BO84" s="123">
        <f t="shared" si="47"/>
        <v>211.00320433189998</v>
      </c>
      <c r="BP84" s="123">
        <f t="shared" si="48"/>
        <v>142.95635714285714</v>
      </c>
      <c r="BQ84" s="123">
        <f t="shared" si="49"/>
        <v>1.4759973501636112</v>
      </c>
      <c r="BR84" s="123">
        <f t="shared" si="50"/>
        <v>67.33256147475714</v>
      </c>
      <c r="BS84" s="123">
        <f t="shared" si="51"/>
        <v>1.20945524630123</v>
      </c>
    </row>
    <row r="85" spans="1:71" ht="12.75">
      <c r="A85" s="102">
        <v>40106</v>
      </c>
      <c r="B85" s="16">
        <v>11</v>
      </c>
      <c r="C85" s="1" t="s">
        <v>85</v>
      </c>
      <c r="D85" s="111">
        <v>997817</v>
      </c>
      <c r="F85" s="1">
        <v>0.006</v>
      </c>
      <c r="G85" s="9">
        <v>0.002507</v>
      </c>
      <c r="H85" s="9">
        <v>0.07098</v>
      </c>
      <c r="I85" s="9">
        <v>2.09</v>
      </c>
      <c r="J85" s="9">
        <v>0.01</v>
      </c>
      <c r="K85" s="85">
        <v>0.03485</v>
      </c>
      <c r="L85" s="9">
        <v>0.005</v>
      </c>
      <c r="M85" s="9">
        <v>0.2758</v>
      </c>
      <c r="N85" s="9">
        <v>1.275</v>
      </c>
      <c r="O85" s="9">
        <v>0.4274</v>
      </c>
      <c r="P85" s="9">
        <v>3.804</v>
      </c>
      <c r="Q85" s="9">
        <v>0.6192</v>
      </c>
      <c r="R85" s="85">
        <v>4.011</v>
      </c>
      <c r="S85" s="9">
        <v>6.801</v>
      </c>
      <c r="T85" s="9">
        <v>20.3</v>
      </c>
      <c r="U85" s="9">
        <v>28.34</v>
      </c>
      <c r="V85" s="9">
        <v>0.05</v>
      </c>
      <c r="W85" s="168"/>
      <c r="X85" s="9">
        <v>0.002</v>
      </c>
      <c r="Y85" s="9">
        <v>0.002</v>
      </c>
      <c r="Z85" s="9">
        <v>2.27</v>
      </c>
      <c r="AA85" s="9">
        <v>0.1114</v>
      </c>
      <c r="AB85" s="75">
        <v>0.06655</v>
      </c>
      <c r="AE85" s="78">
        <f t="shared" si="52"/>
        <v>0.2142857142857143</v>
      </c>
      <c r="AF85" s="78">
        <f t="shared" si="53"/>
        <v>0.09116363636363636</v>
      </c>
      <c r="AG85" s="78">
        <f t="shared" si="54"/>
        <v>7.886666666666667</v>
      </c>
      <c r="AH85" s="78">
        <f t="shared" si="55"/>
        <v>298.57142857142856</v>
      </c>
      <c r="AI85" s="78">
        <f t="shared" si="56"/>
        <v>0.7142857142857143</v>
      </c>
      <c r="AJ85" s="78">
        <f t="shared" si="57"/>
        <v>2.4892857142857143</v>
      </c>
      <c r="AK85" s="78">
        <f t="shared" si="58"/>
        <v>0.4838709677419355</v>
      </c>
      <c r="AL85" s="78">
        <f t="shared" si="59"/>
        <v>7.0717948717948715</v>
      </c>
      <c r="AM85" s="78">
        <f t="shared" si="60"/>
        <v>63.75</v>
      </c>
      <c r="AN85" s="78">
        <f t="shared" si="61"/>
        <v>35.61666666666667</v>
      </c>
      <c r="AO85" s="78">
        <f t="shared" si="62"/>
        <v>165.3913043478261</v>
      </c>
      <c r="AP85" s="78">
        <f t="shared" si="63"/>
        <v>38.699999999999996</v>
      </c>
      <c r="AQ85" s="78">
        <f t="shared" si="64"/>
        <v>114.60000000000001</v>
      </c>
      <c r="AR85" s="68">
        <f t="shared" si="34"/>
        <v>0.15812480392703823</v>
      </c>
      <c r="AS85" s="78">
        <f t="shared" si="65"/>
        <v>4.838709677419355</v>
      </c>
      <c r="AT85" s="78"/>
      <c r="AU85" s="78">
        <f t="shared" si="66"/>
        <v>0.06349206349206349</v>
      </c>
      <c r="AV85" s="78">
        <f t="shared" si="67"/>
        <v>0.061538461538461535</v>
      </c>
      <c r="AW85" s="97">
        <f t="shared" si="35"/>
        <v>7.957142857142857</v>
      </c>
      <c r="AX85" s="68">
        <f t="shared" si="36"/>
        <v>4.753571428571428</v>
      </c>
      <c r="AY85" s="68"/>
      <c r="AZ85" s="68">
        <f t="shared" si="37"/>
        <v>3.2035714285714287</v>
      </c>
      <c r="BA85" s="103">
        <f t="shared" si="38"/>
        <v>272.54405160057337</v>
      </c>
      <c r="BB85" s="103">
        <f t="shared" si="39"/>
        <v>155.7892857142857</v>
      </c>
      <c r="BC85" s="27">
        <f t="shared" si="40"/>
        <v>27.25792174342564</v>
      </c>
      <c r="BD85" s="79">
        <f>(('[1]setup'!$B$13*'[1]setup'!$B$14*'[1]setup'!$B$15)/10^(-S85))*10^6</f>
        <v>74.98835100715401</v>
      </c>
      <c r="BE85" s="73">
        <f t="shared" si="41"/>
        <v>22.040476108399044</v>
      </c>
      <c r="BF85" s="74">
        <f t="shared" si="42"/>
        <v>116.75476588628763</v>
      </c>
      <c r="BG85" s="72">
        <f t="shared" si="43"/>
        <v>272.7021764045004</v>
      </c>
      <c r="BH85" s="72">
        <f t="shared" si="44"/>
        <v>252.8181128298388</v>
      </c>
      <c r="BI85" s="75">
        <f t="shared" si="45"/>
        <v>3.783690940578492</v>
      </c>
      <c r="BJ85" s="58"/>
      <c r="BK85" s="92">
        <f>(3*('[1]setup'!$D$19*(10^-S85)^3)+2*('[1]setup'!$D$20*'[1]setup'!$D$19*((10^-S85)^2))+('[1]setup'!$D$21*'[1]setup'!$D$19*10^-S85)+('[1]setup'!$D$19*'[1]setup'!$D$22*(AP85/(10^6*2))*(10^-S85)^3))*10^6</f>
        <v>0.00015603218305194728</v>
      </c>
      <c r="BL85" s="93">
        <f t="shared" si="46"/>
        <v>41.92469571524367</v>
      </c>
      <c r="BM85" s="74">
        <f>(BL85/((('[1]setup'!$C$26)/10^-S85)+2*(('[1]setup'!$C$26*'[1]setup'!$C$27)/(10^-S85^2))+3*(('[1]setup'!$C$26*'[1]setup'!$C$27*'[1]setup'!$C$28)/(10^-S85^3))))/(10^-S85^3/(10^-S85^3+'[1]setup'!$C$26*10^-S85^2+'[1]setup'!$C$26*'[1]setup'!$C$27*10^-S85+'[1]setup'!$C$26*'[1]setup'!$C$27*'[1]setup'!$C$28))</f>
        <v>15.619670259942508</v>
      </c>
      <c r="BN85" s="74"/>
      <c r="BO85" s="123">
        <f t="shared" si="47"/>
        <v>272.5440516005733</v>
      </c>
      <c r="BP85" s="123">
        <f t="shared" si="48"/>
        <v>155.7892857142857</v>
      </c>
      <c r="BQ85" s="123">
        <f t="shared" si="49"/>
        <v>1.7494402798688826</v>
      </c>
      <c r="BR85" s="123">
        <f t="shared" si="50"/>
        <v>116.04048017200193</v>
      </c>
      <c r="BS85" s="123">
        <f t="shared" si="51"/>
        <v>1.44320509902117</v>
      </c>
    </row>
    <row r="86" spans="1:71" ht="12.75">
      <c r="A86" s="102">
        <v>40128</v>
      </c>
      <c r="B86" s="16">
        <v>12.2</v>
      </c>
      <c r="C86" s="1" t="s">
        <v>85</v>
      </c>
      <c r="D86" s="111">
        <v>1003124</v>
      </c>
      <c r="F86" s="1">
        <v>0.006</v>
      </c>
      <c r="G86" s="9">
        <v>0.002961</v>
      </c>
      <c r="H86" s="9">
        <v>0.08882</v>
      </c>
      <c r="I86" s="9">
        <v>2.042</v>
      </c>
      <c r="J86" s="85">
        <v>0.01</v>
      </c>
      <c r="K86" s="9">
        <v>0.04335</v>
      </c>
      <c r="L86" s="85">
        <v>0.005</v>
      </c>
      <c r="M86" s="9">
        <v>0.1</v>
      </c>
      <c r="N86" s="9">
        <v>1.097</v>
      </c>
      <c r="O86" s="9">
        <v>0.3742</v>
      </c>
      <c r="P86" s="9">
        <v>3.442</v>
      </c>
      <c r="Q86" s="9">
        <v>0.6154</v>
      </c>
      <c r="R86" s="9">
        <v>3.776</v>
      </c>
      <c r="S86" s="9">
        <v>6.585</v>
      </c>
      <c r="T86" s="9">
        <v>17.7</v>
      </c>
      <c r="U86" s="9">
        <v>26.28</v>
      </c>
      <c r="V86" s="9">
        <v>0.05</v>
      </c>
      <c r="W86" s="168"/>
      <c r="X86" s="9">
        <v>0.002</v>
      </c>
      <c r="Y86" s="9">
        <v>0.002</v>
      </c>
      <c r="Z86" s="9">
        <v>2.77</v>
      </c>
      <c r="AA86" s="9">
        <v>0.1273</v>
      </c>
      <c r="AB86" s="75">
        <v>0.07394999999999999</v>
      </c>
      <c r="AE86" s="78">
        <f t="shared" si="52"/>
        <v>0.2142857142857143</v>
      </c>
      <c r="AF86" s="78">
        <f t="shared" si="53"/>
        <v>0.10767272727272728</v>
      </c>
      <c r="AG86" s="78">
        <f t="shared" si="54"/>
        <v>9.86888888888889</v>
      </c>
      <c r="AH86" s="78">
        <f t="shared" si="55"/>
        <v>291.7142857142857</v>
      </c>
      <c r="AI86" s="78">
        <f t="shared" si="56"/>
        <v>0.7142857142857143</v>
      </c>
      <c r="AJ86" s="78">
        <f t="shared" si="57"/>
        <v>3.0964285714285715</v>
      </c>
      <c r="AK86" s="78">
        <f t="shared" si="58"/>
        <v>0.4838709677419355</v>
      </c>
      <c r="AL86" s="78">
        <f t="shared" si="59"/>
        <v>2.5641025641025643</v>
      </c>
      <c r="AM86" s="78">
        <f t="shared" si="60"/>
        <v>54.849999999999994</v>
      </c>
      <c r="AN86" s="78">
        <f t="shared" si="61"/>
        <v>31.18333333333333</v>
      </c>
      <c r="AO86" s="78">
        <f t="shared" si="62"/>
        <v>149.65217391304347</v>
      </c>
      <c r="AP86" s="78">
        <f t="shared" si="63"/>
        <v>38.4625</v>
      </c>
      <c r="AQ86" s="78">
        <f t="shared" si="64"/>
        <v>107.88571428571429</v>
      </c>
      <c r="AR86" s="68">
        <f t="shared" si="34"/>
        <v>0.2600159563165272</v>
      </c>
      <c r="AS86" s="78">
        <f t="shared" si="65"/>
        <v>4.838709677419355</v>
      </c>
      <c r="AT86" s="78"/>
      <c r="AU86" s="78">
        <f t="shared" si="66"/>
        <v>0.06349206349206349</v>
      </c>
      <c r="AV86" s="78">
        <f t="shared" si="67"/>
        <v>0.061538461538461535</v>
      </c>
      <c r="AW86" s="97">
        <f t="shared" si="35"/>
        <v>9.092857142857142</v>
      </c>
      <c r="AX86" s="68">
        <f t="shared" si="36"/>
        <v>5.282142857142856</v>
      </c>
      <c r="AY86" s="68"/>
      <c r="AZ86" s="68">
        <f t="shared" si="37"/>
        <v>3.810714285714286</v>
      </c>
      <c r="BA86" s="103">
        <f t="shared" si="38"/>
        <v>238.96389552476506</v>
      </c>
      <c r="BB86" s="103">
        <f t="shared" si="39"/>
        <v>149.44464285714287</v>
      </c>
      <c r="BC86" s="27">
        <f t="shared" si="40"/>
        <v>23.04770462579306</v>
      </c>
      <c r="BD86" s="79">
        <f>(('[1]setup'!$B$13*'[1]setup'!$B$14*'[1]setup'!$B$15)/10^(-S86))*10^6</f>
        <v>45.603040935624534</v>
      </c>
      <c r="BE86" s="73">
        <f t="shared" si="41"/>
        <v>26.614832058682083</v>
      </c>
      <c r="BF86" s="74">
        <f t="shared" si="42"/>
        <v>89.51925266762225</v>
      </c>
      <c r="BG86" s="72">
        <f t="shared" si="43"/>
        <v>239.22391148108161</v>
      </c>
      <c r="BH86" s="72">
        <f t="shared" si="44"/>
        <v>221.66251585144946</v>
      </c>
      <c r="BI86" s="75">
        <f t="shared" si="45"/>
        <v>3.810352092872883</v>
      </c>
      <c r="BJ86" s="58"/>
      <c r="BK86" s="92">
        <f>(3*('[1]setup'!$D$19*(10^-S86)^3)+2*('[1]setup'!$D$20*'[1]setup'!$D$19*((10^-S86)^2))+('[1]setup'!$D$21*'[1]setup'!$D$19*10^-S86)+('[1]setup'!$D$19*'[1]setup'!$D$22*(AP86/(10^6*2))*(10^-S86)^3))*10^6</f>
        <v>0.0002770081942478752</v>
      </c>
      <c r="BL86" s="93">
        <f t="shared" si="46"/>
        <v>44.17650469650849</v>
      </c>
      <c r="BM86" s="74">
        <f>(BL86/((('[1]setup'!$C$26)/10^-S86)+2*(('[1]setup'!$C$26*'[1]setup'!$C$27)/(10^-S86^2))+3*(('[1]setup'!$C$26*'[1]setup'!$C$27*'[1]setup'!$C$28)/(10^-S86^3))))/(10^-S86^3/(10^-S86^3+'[1]setup'!$C$26*10^-S86^2+'[1]setup'!$C$26*'[1]setup'!$C$27*10^-S86+'[1]setup'!$C$26*'[1]setup'!$C$27*'[1]setup'!$C$28))</f>
        <v>17.217340648508905</v>
      </c>
      <c r="BN86" s="74"/>
      <c r="BO86" s="123">
        <f t="shared" si="47"/>
        <v>238.96389552476506</v>
      </c>
      <c r="BP86" s="123">
        <f t="shared" si="48"/>
        <v>149.44464285714287</v>
      </c>
      <c r="BQ86" s="123">
        <f t="shared" si="49"/>
        <v>1.5990127913330119</v>
      </c>
      <c r="BR86" s="123">
        <f t="shared" si="50"/>
        <v>88.80496695333647</v>
      </c>
      <c r="BS86" s="123">
        <f t="shared" si="51"/>
        <v>1.3871361459100957</v>
      </c>
    </row>
    <row r="87" spans="1:71" ht="12.75">
      <c r="A87" s="102">
        <v>40226</v>
      </c>
      <c r="B87" s="16">
        <v>14.2</v>
      </c>
      <c r="C87" s="1" t="s">
        <v>85</v>
      </c>
      <c r="D87" s="111">
        <v>1013389</v>
      </c>
      <c r="F87" s="1">
        <v>0.006</v>
      </c>
      <c r="G87" s="9">
        <v>0.002505</v>
      </c>
      <c r="H87" s="9">
        <v>0.09568</v>
      </c>
      <c r="I87" s="9">
        <v>2.147</v>
      </c>
      <c r="J87" s="9">
        <v>0.01</v>
      </c>
      <c r="K87" s="85">
        <v>0.07676</v>
      </c>
      <c r="L87" s="9">
        <v>0.005</v>
      </c>
      <c r="M87" s="9">
        <v>0.3767</v>
      </c>
      <c r="N87" s="9">
        <v>0.971</v>
      </c>
      <c r="O87" s="9">
        <v>0.3464</v>
      </c>
      <c r="P87" s="9">
        <v>3.41</v>
      </c>
      <c r="Q87" s="9">
        <v>0.6482</v>
      </c>
      <c r="R87" s="85">
        <v>3.564</v>
      </c>
      <c r="S87" s="9">
        <v>6.571</v>
      </c>
      <c r="T87" s="9">
        <v>17.9</v>
      </c>
      <c r="U87" s="9">
        <v>25.79</v>
      </c>
      <c r="V87" s="9">
        <v>0.05</v>
      </c>
      <c r="W87" s="168"/>
      <c r="X87" s="9">
        <v>0.002</v>
      </c>
      <c r="Y87" s="9">
        <v>0.002752</v>
      </c>
      <c r="Z87" s="9">
        <v>2.881</v>
      </c>
      <c r="AA87" s="9">
        <v>0.1489</v>
      </c>
      <c r="AB87" s="75">
        <v>0.062140000000000015</v>
      </c>
      <c r="AE87" s="78">
        <f t="shared" si="52"/>
        <v>0.2142857142857143</v>
      </c>
      <c r="AF87" s="78">
        <f t="shared" si="53"/>
        <v>0.09109090909090908</v>
      </c>
      <c r="AG87" s="78">
        <f t="shared" si="54"/>
        <v>10.631111111111112</v>
      </c>
      <c r="AH87" s="78">
        <f t="shared" si="55"/>
        <v>306.71428571428567</v>
      </c>
      <c r="AI87" s="78">
        <f t="shared" si="56"/>
        <v>0.7142857142857143</v>
      </c>
      <c r="AJ87" s="78">
        <f t="shared" si="57"/>
        <v>5.482857142857142</v>
      </c>
      <c r="AK87" s="78">
        <f t="shared" si="58"/>
        <v>0.4838709677419355</v>
      </c>
      <c r="AL87" s="78">
        <f t="shared" si="59"/>
        <v>9.658974358974358</v>
      </c>
      <c r="AM87" s="78">
        <f t="shared" si="60"/>
        <v>48.55</v>
      </c>
      <c r="AN87" s="78">
        <f t="shared" si="61"/>
        <v>28.866666666666667</v>
      </c>
      <c r="AO87" s="78">
        <f t="shared" si="62"/>
        <v>148.26086956521738</v>
      </c>
      <c r="AP87" s="78">
        <f t="shared" si="63"/>
        <v>40.5125</v>
      </c>
      <c r="AQ87" s="78">
        <f t="shared" si="64"/>
        <v>101.82857142857144</v>
      </c>
      <c r="AR87" s="68">
        <f t="shared" si="34"/>
        <v>0.26853444456585085</v>
      </c>
      <c r="AS87" s="78">
        <f t="shared" si="65"/>
        <v>4.838709677419355</v>
      </c>
      <c r="AT87" s="78"/>
      <c r="AU87" s="78">
        <f t="shared" si="66"/>
        <v>0.06349206349206349</v>
      </c>
      <c r="AV87" s="78">
        <f t="shared" si="67"/>
        <v>0.08467692307692308</v>
      </c>
      <c r="AW87" s="97">
        <f t="shared" si="35"/>
        <v>10.635714285714286</v>
      </c>
      <c r="AX87" s="68">
        <f t="shared" si="36"/>
        <v>4.4385714285714295</v>
      </c>
      <c r="AY87" s="68"/>
      <c r="AZ87" s="68">
        <f t="shared" si="37"/>
        <v>6.197142857142857</v>
      </c>
      <c r="BA87" s="103">
        <f t="shared" si="38"/>
        <v>236.05079630514413</v>
      </c>
      <c r="BB87" s="103">
        <f t="shared" si="39"/>
        <v>147.82392857142858</v>
      </c>
      <c r="BC87" s="27">
        <f t="shared" si="40"/>
        <v>22.983244797396637</v>
      </c>
      <c r="BD87" s="79">
        <f>(('[1]setup'!$B$13*'[1]setup'!$B$14*'[1]setup'!$B$15)/10^(-S87))*10^6</f>
        <v>44.15641471614048</v>
      </c>
      <c r="BE87" s="73">
        <f t="shared" si="41"/>
        <v>27.659718444592325</v>
      </c>
      <c r="BF87" s="74">
        <f t="shared" si="42"/>
        <v>88.22686773371552</v>
      </c>
      <c r="BG87" s="72">
        <f t="shared" si="43"/>
        <v>236.31933074970996</v>
      </c>
      <c r="BH87" s="72">
        <f t="shared" si="44"/>
        <v>219.6400617321614</v>
      </c>
      <c r="BI87" s="75">
        <f t="shared" si="45"/>
        <v>3.6580601896936953</v>
      </c>
      <c r="BJ87" s="58"/>
      <c r="BK87" s="92">
        <f>(3*('[1]setup'!$D$19*(10^-S87)^3)+2*('[1]setup'!$D$20*'[1]setup'!$D$19*((10^-S87)^2))+('[1]setup'!$D$21*'[1]setup'!$D$19*10^-S87)+('[1]setup'!$D$19*'[1]setup'!$D$22*(AP87/(10^6*2))*(10^-S87)^3))*10^6</f>
        <v>0.000287925465351042</v>
      </c>
      <c r="BL87" s="93">
        <f t="shared" si="46"/>
        <v>44.33927538760625</v>
      </c>
      <c r="BM87" s="74">
        <f>(BL87/((('[1]setup'!$C$26)/10^-S87)+2*(('[1]setup'!$C$26*'[1]setup'!$C$27)/(10^-S87^2))+3*(('[1]setup'!$C$26*'[1]setup'!$C$27*'[1]setup'!$C$28)/(10^-S87^3))))/(10^-S87^3/(10^-S87^3+'[1]setup'!$C$26*10^-S87^2+'[1]setup'!$C$26*'[1]setup'!$C$27*10^-S87+'[1]setup'!$C$26*'[1]setup'!$C$27*'[1]setup'!$C$28))</f>
        <v>17.3360053699009</v>
      </c>
      <c r="BN87" s="74"/>
      <c r="BO87" s="123">
        <f t="shared" si="47"/>
        <v>236.0507963051441</v>
      </c>
      <c r="BP87" s="123">
        <f t="shared" si="48"/>
        <v>147.82392857142858</v>
      </c>
      <c r="BQ87" s="123">
        <f t="shared" si="49"/>
        <v>1.5968375254692562</v>
      </c>
      <c r="BR87" s="123">
        <f t="shared" si="50"/>
        <v>87.51258201942983</v>
      </c>
      <c r="BS87" s="123">
        <f t="shared" si="51"/>
        <v>1.455984970477724</v>
      </c>
    </row>
    <row r="88" spans="1:71" ht="12.75">
      <c r="A88" s="124">
        <v>40266</v>
      </c>
      <c r="B88" s="16">
        <v>18.3</v>
      </c>
      <c r="C88" s="1" t="s">
        <v>85</v>
      </c>
      <c r="D88" s="111">
        <v>1019256</v>
      </c>
      <c r="F88" s="1">
        <v>0.006</v>
      </c>
      <c r="G88" s="9">
        <v>0.002</v>
      </c>
      <c r="H88" s="9">
        <v>0.08688</v>
      </c>
      <c r="I88" s="9">
        <v>1.758</v>
      </c>
      <c r="J88" s="170">
        <v>0.01</v>
      </c>
      <c r="K88" s="141">
        <v>0.0607</v>
      </c>
      <c r="L88" s="170">
        <v>0.005</v>
      </c>
      <c r="M88" s="9">
        <v>0.2962</v>
      </c>
      <c r="N88" s="9">
        <v>0.7238</v>
      </c>
      <c r="O88" s="9">
        <v>0.2903</v>
      </c>
      <c r="P88" s="9">
        <v>2.891</v>
      </c>
      <c r="Q88" s="141">
        <v>0.556</v>
      </c>
      <c r="R88" s="141">
        <v>3.188</v>
      </c>
      <c r="S88" s="9">
        <v>6.248</v>
      </c>
      <c r="T88" s="9">
        <v>17.5</v>
      </c>
      <c r="U88" s="9">
        <v>21.45</v>
      </c>
      <c r="V88" s="9">
        <v>0.05</v>
      </c>
      <c r="W88" s="168"/>
      <c r="X88" s="9">
        <v>0.002</v>
      </c>
      <c r="Y88" s="9">
        <v>0.002</v>
      </c>
      <c r="Z88" s="9">
        <v>2.716</v>
      </c>
      <c r="AA88" s="9">
        <v>0.1374</v>
      </c>
      <c r="AB88" s="75">
        <v>0.0667</v>
      </c>
      <c r="AE88" s="78">
        <f t="shared" si="52"/>
        <v>0.2142857142857143</v>
      </c>
      <c r="AF88" s="78">
        <f t="shared" si="53"/>
        <v>0.07272727272727272</v>
      </c>
      <c r="AG88" s="78">
        <f t="shared" si="54"/>
        <v>9.653333333333332</v>
      </c>
      <c r="AH88" s="78">
        <f t="shared" si="55"/>
        <v>251.14285714285717</v>
      </c>
      <c r="AI88" s="78">
        <f t="shared" si="56"/>
        <v>0.7142857142857143</v>
      </c>
      <c r="AJ88" s="78">
        <f t="shared" si="57"/>
        <v>4.335714285714285</v>
      </c>
      <c r="AK88" s="78">
        <f t="shared" si="58"/>
        <v>0.4838709677419355</v>
      </c>
      <c r="AL88" s="78">
        <f t="shared" si="59"/>
        <v>7.594871794871795</v>
      </c>
      <c r="AM88" s="78">
        <f t="shared" si="60"/>
        <v>36.19</v>
      </c>
      <c r="AN88" s="78">
        <f t="shared" si="61"/>
        <v>24.191666666666666</v>
      </c>
      <c r="AO88" s="78">
        <f t="shared" si="62"/>
        <v>125.69565217391305</v>
      </c>
      <c r="AP88" s="78">
        <f t="shared" si="63"/>
        <v>34.75</v>
      </c>
      <c r="AQ88" s="78">
        <f t="shared" si="64"/>
        <v>91.08571428571429</v>
      </c>
      <c r="AR88" s="68">
        <f t="shared" si="34"/>
        <v>0.5649369748123022</v>
      </c>
      <c r="AS88" s="78">
        <f t="shared" si="65"/>
        <v>4.838709677419355</v>
      </c>
      <c r="AT88" s="78"/>
      <c r="AU88" s="78">
        <f t="shared" si="66"/>
        <v>0.06349206349206349</v>
      </c>
      <c r="AV88" s="78">
        <f t="shared" si="67"/>
        <v>0.061538461538461535</v>
      </c>
      <c r="AW88" s="97">
        <f t="shared" si="35"/>
        <v>9.814285714285715</v>
      </c>
      <c r="AX88" s="68">
        <f t="shared" si="36"/>
        <v>4.764285714285714</v>
      </c>
      <c r="AY88" s="68"/>
      <c r="AZ88" s="68">
        <f t="shared" si="37"/>
        <v>5.05</v>
      </c>
      <c r="BA88" s="103">
        <f t="shared" si="38"/>
        <v>194.38647634973722</v>
      </c>
      <c r="BB88" s="103">
        <f t="shared" si="39"/>
        <v>130.17142857142858</v>
      </c>
      <c r="BC88" s="27">
        <f t="shared" si="40"/>
        <v>19.78539015831591</v>
      </c>
      <c r="BD88" s="79">
        <f>(('[1]setup'!$B$13*'[1]setup'!$B$14*'[1]setup'!$B$15)/10^(-S88))*10^6</f>
        <v>20.989099365920865</v>
      </c>
      <c r="BE88" s="73">
        <f t="shared" si="41"/>
        <v>25.502978122727985</v>
      </c>
      <c r="BF88" s="74">
        <f t="shared" si="42"/>
        <v>64.21504777830867</v>
      </c>
      <c r="BG88" s="72">
        <f t="shared" si="43"/>
        <v>194.95141332454955</v>
      </c>
      <c r="BH88" s="72">
        <f t="shared" si="44"/>
        <v>176.66350606007745</v>
      </c>
      <c r="BI88" s="75">
        <f t="shared" si="45"/>
        <v>4.921198345522786</v>
      </c>
      <c r="BJ88" s="58"/>
      <c r="BK88" s="92">
        <f>(3*('[1]setup'!$D$19*(10^-S88)^3)+2*('[1]setup'!$D$20*'[1]setup'!$D$19*((10^-S88)^2))+('[1]setup'!$D$21*'[1]setup'!$D$19*10^-S88)+('[1]setup'!$D$19*'[1]setup'!$D$22*(AP88/(10^6*2))*(10^-S88)^3))*10^6</f>
        <v>0.0007558223884677545</v>
      </c>
      <c r="BL88" s="93">
        <f t="shared" si="46"/>
        <v>43.79164120958856</v>
      </c>
      <c r="BM88" s="74">
        <f>(BL88/((('[1]setup'!$C$26)/10^-S88)+2*(('[1]setup'!$C$26*'[1]setup'!$C$27)/(10^-S88^2))+3*(('[1]setup'!$C$26*'[1]setup'!$C$27*'[1]setup'!$C$28)/(10^-S88^3))))/(10^-S88^3/(10^-S88^3+'[1]setup'!$C$26*10^-S88^2+'[1]setup'!$C$26*'[1]setup'!$C$27*10^-S88+'[1]setup'!$C$26*'[1]setup'!$C$27*'[1]setup'!$C$28))</f>
        <v>18.517708692505344</v>
      </c>
      <c r="BN88" s="74"/>
      <c r="BO88" s="123">
        <f t="shared" si="47"/>
        <v>194.38647634973722</v>
      </c>
      <c r="BP88" s="123">
        <f t="shared" si="48"/>
        <v>130.17142857142858</v>
      </c>
      <c r="BQ88" s="123">
        <f t="shared" si="49"/>
        <v>1.493311385478666</v>
      </c>
      <c r="BR88" s="123">
        <f t="shared" si="50"/>
        <v>63.50076206402292</v>
      </c>
      <c r="BS88" s="123">
        <f t="shared" si="51"/>
        <v>1.3799710872292836</v>
      </c>
    </row>
    <row r="89" spans="1:71" ht="12.75">
      <c r="A89" s="124">
        <v>40280</v>
      </c>
      <c r="B89" s="16">
        <v>19</v>
      </c>
      <c r="C89" s="1" t="s">
        <v>85</v>
      </c>
      <c r="D89" s="111">
        <v>1020466</v>
      </c>
      <c r="F89" s="31">
        <v>0.0347</v>
      </c>
      <c r="G89" s="9">
        <v>0.002524</v>
      </c>
      <c r="H89" s="9">
        <v>0.08291</v>
      </c>
      <c r="I89" s="9">
        <v>1.407</v>
      </c>
      <c r="J89" s="9">
        <v>0.01</v>
      </c>
      <c r="K89" s="141">
        <v>0.05314</v>
      </c>
      <c r="L89" s="9">
        <v>0.005</v>
      </c>
      <c r="M89" s="9">
        <v>0.2671</v>
      </c>
      <c r="N89" s="9">
        <v>0.7836</v>
      </c>
      <c r="O89" s="9">
        <v>0.2435</v>
      </c>
      <c r="P89" s="9">
        <v>2.575</v>
      </c>
      <c r="Q89" s="141">
        <v>0.4956</v>
      </c>
      <c r="R89" s="141">
        <v>2.6</v>
      </c>
      <c r="S89" s="9">
        <v>6.261</v>
      </c>
      <c r="T89" s="9">
        <v>14.9</v>
      </c>
      <c r="U89" s="9">
        <v>20.04</v>
      </c>
      <c r="V89" s="9">
        <v>0.05</v>
      </c>
      <c r="W89" s="168"/>
      <c r="X89" s="9">
        <v>0.002</v>
      </c>
      <c r="Y89" s="9">
        <v>0.002363</v>
      </c>
      <c r="Z89" s="9">
        <v>2.399</v>
      </c>
      <c r="AA89" s="9">
        <v>0.1269</v>
      </c>
      <c r="AB89" s="75">
        <v>0.06376000000000001</v>
      </c>
      <c r="AE89" s="78">
        <f t="shared" si="52"/>
        <v>1.2392857142857143</v>
      </c>
      <c r="AF89" s="78">
        <f t="shared" si="53"/>
        <v>0.09178181818181819</v>
      </c>
      <c r="AG89" s="78">
        <f t="shared" si="54"/>
        <v>9.212222222222222</v>
      </c>
      <c r="AH89" s="78">
        <f t="shared" si="55"/>
        <v>201</v>
      </c>
      <c r="AI89" s="78">
        <f t="shared" si="56"/>
        <v>0.7142857142857143</v>
      </c>
      <c r="AJ89" s="78">
        <f t="shared" si="57"/>
        <v>3.7957142857142854</v>
      </c>
      <c r="AK89" s="78">
        <f t="shared" si="58"/>
        <v>0.4838709677419355</v>
      </c>
      <c r="AL89" s="78">
        <f t="shared" si="59"/>
        <v>6.848717948717948</v>
      </c>
      <c r="AM89" s="78">
        <f t="shared" si="60"/>
        <v>39.18</v>
      </c>
      <c r="AN89" s="78">
        <f t="shared" si="61"/>
        <v>20.291666666666668</v>
      </c>
      <c r="AO89" s="78">
        <f t="shared" si="62"/>
        <v>111.95652173913044</v>
      </c>
      <c r="AP89" s="78">
        <f t="shared" si="63"/>
        <v>30.974999999999998</v>
      </c>
      <c r="AQ89" s="78">
        <f t="shared" si="64"/>
        <v>74.28571428571429</v>
      </c>
      <c r="AR89" s="68">
        <f t="shared" si="34"/>
        <v>0.5482769649208535</v>
      </c>
      <c r="AS89" s="78">
        <f t="shared" si="65"/>
        <v>4.838709677419355</v>
      </c>
      <c r="AT89" s="78"/>
      <c r="AU89" s="78">
        <f t="shared" si="66"/>
        <v>0.06349206349206349</v>
      </c>
      <c r="AV89" s="78">
        <f t="shared" si="67"/>
        <v>0.07270769230769232</v>
      </c>
      <c r="AW89" s="97">
        <f t="shared" si="35"/>
        <v>9.064285714285715</v>
      </c>
      <c r="AX89" s="68">
        <f t="shared" si="36"/>
        <v>4.554285714285714</v>
      </c>
      <c r="AY89" s="68"/>
      <c r="AZ89" s="68">
        <f t="shared" si="37"/>
        <v>4.51</v>
      </c>
      <c r="BA89" s="103">
        <f t="shared" si="38"/>
        <v>178.99119206880079</v>
      </c>
      <c r="BB89" s="103">
        <f t="shared" si="39"/>
        <v>109.05642857142857</v>
      </c>
      <c r="BC89" s="27">
        <f t="shared" si="40"/>
        <v>24.278889491234693</v>
      </c>
      <c r="BD89" s="79">
        <f>(('[1]setup'!$B$13*'[1]setup'!$B$14*'[1]setup'!$B$15)/10^(-S89))*10^6</f>
        <v>21.62687666721479</v>
      </c>
      <c r="BE89" s="73">
        <f t="shared" si="41"/>
        <v>22.550376029813982</v>
      </c>
      <c r="BF89" s="74">
        <f t="shared" si="42"/>
        <v>69.93476349737222</v>
      </c>
      <c r="BG89" s="72">
        <f t="shared" si="43"/>
        <v>179.53946903372164</v>
      </c>
      <c r="BH89" s="72">
        <f t="shared" si="44"/>
        <v>153.23368126845733</v>
      </c>
      <c r="BI89" s="75">
        <f t="shared" si="45"/>
        <v>7.905021105632171</v>
      </c>
      <c r="BJ89" s="58"/>
      <c r="BK89" s="92">
        <f>(3*('[1]setup'!$D$19*(10^-S89)^3)+2*('[1]setup'!$D$20*'[1]setup'!$D$19*((10^-S89)^2))+('[1]setup'!$D$21*'[1]setup'!$D$19*10^-S89)+('[1]setup'!$D$19*'[1]setup'!$D$22*(AP89/(10^6*2))*(10^-S89)^3))*10^6</f>
        <v>0.0007245490878227164</v>
      </c>
      <c r="BL89" s="93">
        <f t="shared" si="46"/>
        <v>48.85688834416612</v>
      </c>
      <c r="BM89" s="74">
        <f>(BL89/((('[1]setup'!$C$26)/10^-S89)+2*(('[1]setup'!$C$26*'[1]setup'!$C$27)/(10^-S89^2))+3*(('[1]setup'!$C$26*'[1]setup'!$C$27*'[1]setup'!$C$28)/(10^-S89^3))))/(10^-S89^3/(10^-S89^3+'[1]setup'!$C$26*10^-S89^2+'[1]setup'!$C$26*'[1]setup'!$C$27*10^-S89+'[1]setup'!$C$26*'[1]setup'!$C$27*'[1]setup'!$C$28))</f>
        <v>20.593196125721995</v>
      </c>
      <c r="BN89" s="74"/>
      <c r="BO89" s="123">
        <f t="shared" si="47"/>
        <v>178.99119206880079</v>
      </c>
      <c r="BP89" s="123">
        <f t="shared" si="48"/>
        <v>109.05642857142857</v>
      </c>
      <c r="BQ89" s="123">
        <f t="shared" si="49"/>
        <v>1.641271352945206</v>
      </c>
      <c r="BR89" s="123">
        <f t="shared" si="50"/>
        <v>69.2204777830865</v>
      </c>
      <c r="BS89" s="123">
        <f t="shared" si="51"/>
        <v>1.507107023411371</v>
      </c>
    </row>
    <row r="90" spans="1:71" ht="12.75">
      <c r="A90" s="124">
        <v>40295</v>
      </c>
      <c r="B90" s="16">
        <v>17</v>
      </c>
      <c r="C90" s="1" t="s">
        <v>85</v>
      </c>
      <c r="D90" s="111">
        <v>1021697</v>
      </c>
      <c r="F90" s="1">
        <v>0.006</v>
      </c>
      <c r="G90" s="9">
        <v>0.002526</v>
      </c>
      <c r="H90" s="9">
        <v>0.06799</v>
      </c>
      <c r="I90" s="9">
        <v>1.905</v>
      </c>
      <c r="J90" s="130">
        <v>0.01</v>
      </c>
      <c r="K90" s="141">
        <v>0.04099</v>
      </c>
      <c r="L90" s="130">
        <v>0.005</v>
      </c>
      <c r="M90" s="9">
        <v>0.2646</v>
      </c>
      <c r="N90" s="9">
        <v>0.9432</v>
      </c>
      <c r="O90" s="9">
        <v>0.3088</v>
      </c>
      <c r="P90" s="9">
        <v>2.853</v>
      </c>
      <c r="Q90" s="141">
        <v>0.5537</v>
      </c>
      <c r="R90" s="141">
        <v>3.199</v>
      </c>
      <c r="S90" s="85">
        <v>6.647</v>
      </c>
      <c r="T90" s="85">
        <v>19.7</v>
      </c>
      <c r="U90" s="85">
        <v>23.39</v>
      </c>
      <c r="V90" s="9">
        <v>0.05</v>
      </c>
      <c r="W90" s="168"/>
      <c r="X90" s="9">
        <v>0.002</v>
      </c>
      <c r="Y90" s="9">
        <v>0.002569</v>
      </c>
      <c r="Z90" s="9">
        <v>2.143</v>
      </c>
      <c r="AA90" s="9">
        <v>0.1451</v>
      </c>
      <c r="AB90" s="75">
        <v>0.09411</v>
      </c>
      <c r="AD90" s="126">
        <v>0.1442</v>
      </c>
      <c r="AE90" s="78">
        <f t="shared" si="52"/>
        <v>0.2142857142857143</v>
      </c>
      <c r="AF90" s="78">
        <f t="shared" si="53"/>
        <v>0.09185454545454545</v>
      </c>
      <c r="AG90" s="78">
        <f t="shared" si="54"/>
        <v>7.554444444444443</v>
      </c>
      <c r="AH90" s="78">
        <f t="shared" si="55"/>
        <v>272.1428571428571</v>
      </c>
      <c r="AI90" s="78">
        <f t="shared" si="56"/>
        <v>0.7142857142857143</v>
      </c>
      <c r="AJ90" s="78">
        <f t="shared" si="57"/>
        <v>2.9278571428571425</v>
      </c>
      <c r="AK90" s="78">
        <f t="shared" si="58"/>
        <v>0.4838709677419355</v>
      </c>
      <c r="AL90" s="78">
        <f t="shared" si="59"/>
        <v>6.7846153846153845</v>
      </c>
      <c r="AM90" s="78">
        <f t="shared" si="60"/>
        <v>47.160000000000004</v>
      </c>
      <c r="AN90" s="78">
        <f t="shared" si="61"/>
        <v>25.733333333333334</v>
      </c>
      <c r="AO90" s="78">
        <f t="shared" si="62"/>
        <v>124.04347826086958</v>
      </c>
      <c r="AP90" s="78">
        <f t="shared" si="63"/>
        <v>34.606249999999996</v>
      </c>
      <c r="AQ90" s="78">
        <f t="shared" si="64"/>
        <v>91.39999999999999</v>
      </c>
      <c r="AR90" s="68">
        <f t="shared" si="34"/>
        <v>0.22542392121524277</v>
      </c>
      <c r="AS90" s="78">
        <f t="shared" si="65"/>
        <v>4.838709677419355</v>
      </c>
      <c r="AT90" s="78"/>
      <c r="AU90" s="78">
        <f t="shared" si="66"/>
        <v>0.06349206349206349</v>
      </c>
      <c r="AV90" s="78">
        <f t="shared" si="67"/>
        <v>0.07904615384615385</v>
      </c>
      <c r="AW90" s="97">
        <f t="shared" si="35"/>
        <v>10.364285714285714</v>
      </c>
      <c r="AX90" s="68">
        <f t="shared" si="36"/>
        <v>6.722142857142857</v>
      </c>
      <c r="AY90" s="68"/>
      <c r="AZ90" s="68">
        <f t="shared" si="37"/>
        <v>3.642142857142857</v>
      </c>
      <c r="BA90" s="103">
        <f t="shared" si="38"/>
        <v>204.43571269310402</v>
      </c>
      <c r="BB90" s="103">
        <f t="shared" si="39"/>
        <v>128.93410714285713</v>
      </c>
      <c r="BC90" s="27">
        <f t="shared" si="40"/>
        <v>22.648002625852097</v>
      </c>
      <c r="BD90" s="79">
        <f>(('[1]setup'!$B$13*'[1]setup'!$B$14*'[1]setup'!$B$15)/10^(-S90))*10^6</f>
        <v>52.600976133744794</v>
      </c>
      <c r="BE90" s="73">
        <f t="shared" si="41"/>
        <v>20.658600854058914</v>
      </c>
      <c r="BF90" s="74">
        <f t="shared" si="42"/>
        <v>75.50160555024692</v>
      </c>
      <c r="BG90" s="72">
        <f t="shared" si="43"/>
        <v>204.6611366143193</v>
      </c>
      <c r="BH90" s="72">
        <f t="shared" si="44"/>
        <v>202.1936841306608</v>
      </c>
      <c r="BI90" s="75">
        <f t="shared" si="45"/>
        <v>0.606470012851368</v>
      </c>
      <c r="BJ90" s="58"/>
      <c r="BK90" s="92">
        <f>(3*('[1]setup'!$D$19*(10^-S90)^3)+2*('[1]setup'!$D$20*'[1]setup'!$D$19*((10^-S90)^2))+('[1]setup'!$D$21*'[1]setup'!$D$19*10^-S90)+('[1]setup'!$D$19*'[1]setup'!$D$22*(AP90/(10^6*2))*(10^-S90)^3))*10^6</f>
        <v>0.00023398121549414916</v>
      </c>
      <c r="BL90" s="93">
        <f t="shared" si="46"/>
        <v>23.126287318932867</v>
      </c>
      <c r="BM90" s="74">
        <f>(BL90/((('[1]setup'!$C$26)/10^-S90)+2*(('[1]setup'!$C$26*'[1]setup'!$C$27)/(10^-S90^2))+3*(('[1]setup'!$C$26*'[1]setup'!$C$27*'[1]setup'!$C$28)/(10^-S90^3))))/(10^-S90^3/(10^-S90^3+'[1]setup'!$C$26*10^-S90^2+'[1]setup'!$C$26*'[1]setup'!$C$27*10^-S90+'[1]setup'!$C$26*'[1]setup'!$C$27*'[1]setup'!$C$28))</f>
        <v>8.889909174999975</v>
      </c>
      <c r="BN90" s="74"/>
      <c r="BO90" s="123">
        <f t="shared" si="47"/>
        <v>204.435712693104</v>
      </c>
      <c r="BP90" s="123">
        <f t="shared" si="48"/>
        <v>128.93410714285713</v>
      </c>
      <c r="BQ90" s="123">
        <f t="shared" si="49"/>
        <v>1.585582878133186</v>
      </c>
      <c r="BR90" s="123">
        <f t="shared" si="50"/>
        <v>74.78731983596117</v>
      </c>
      <c r="BS90" s="123">
        <f t="shared" si="51"/>
        <v>1.3571496527447438</v>
      </c>
    </row>
    <row r="91" spans="1:71" ht="12.75">
      <c r="A91" s="124">
        <v>40308</v>
      </c>
      <c r="B91" s="16">
        <v>18.4</v>
      </c>
      <c r="C91" s="1" t="s">
        <v>85</v>
      </c>
      <c r="D91" s="111">
        <v>1023069</v>
      </c>
      <c r="F91" s="131">
        <v>0.006</v>
      </c>
      <c r="G91" s="147">
        <v>0.002878</v>
      </c>
      <c r="H91" s="147">
        <v>0.03752</v>
      </c>
      <c r="I91" s="147">
        <v>2.147</v>
      </c>
      <c r="J91" s="171">
        <v>0.01</v>
      </c>
      <c r="K91" s="142">
        <v>0.025</v>
      </c>
      <c r="L91" s="171">
        <v>0.005</v>
      </c>
      <c r="M91" s="147">
        <v>0.1</v>
      </c>
      <c r="N91" s="147">
        <v>1.121</v>
      </c>
      <c r="O91" s="147">
        <v>0.3723</v>
      </c>
      <c r="P91" s="147">
        <v>3.344</v>
      </c>
      <c r="Q91" s="143">
        <v>0.6289</v>
      </c>
      <c r="R91" s="143">
        <v>3.618</v>
      </c>
      <c r="S91" s="85">
        <v>6.651</v>
      </c>
      <c r="T91" s="85">
        <v>18.1</v>
      </c>
      <c r="U91" s="85">
        <v>27.25</v>
      </c>
      <c r="V91" s="147">
        <v>0.05</v>
      </c>
      <c r="W91" s="168"/>
      <c r="X91" s="147">
        <v>0.002</v>
      </c>
      <c r="Y91" s="147">
        <v>0.002579</v>
      </c>
      <c r="Z91" s="147">
        <v>1.561</v>
      </c>
      <c r="AA91" s="147">
        <v>0.01</v>
      </c>
      <c r="AB91" s="75">
        <v>-0.025</v>
      </c>
      <c r="AD91" s="132">
        <v>0.1491</v>
      </c>
      <c r="AE91" s="78">
        <f t="shared" si="52"/>
        <v>0.2142857142857143</v>
      </c>
      <c r="AF91" s="78">
        <f t="shared" si="53"/>
        <v>0.10465454545454546</v>
      </c>
      <c r="AG91" s="78">
        <f t="shared" si="54"/>
        <v>4.168888888888889</v>
      </c>
      <c r="AH91" s="78">
        <f t="shared" si="55"/>
        <v>306.71428571428567</v>
      </c>
      <c r="AI91" s="78">
        <f t="shared" si="56"/>
        <v>0.7142857142857143</v>
      </c>
      <c r="AJ91" s="78">
        <f t="shared" si="57"/>
        <v>1.7857142857142858</v>
      </c>
      <c r="AK91" s="78">
        <f t="shared" si="58"/>
        <v>0.4838709677419355</v>
      </c>
      <c r="AL91" s="78">
        <f t="shared" si="59"/>
        <v>2.5641025641025643</v>
      </c>
      <c r="AM91" s="78">
        <f t="shared" si="60"/>
        <v>56.050000000000004</v>
      </c>
      <c r="AN91" s="78">
        <f t="shared" si="61"/>
        <v>31.025000000000002</v>
      </c>
      <c r="AO91" s="78">
        <f t="shared" si="62"/>
        <v>145.39130434782606</v>
      </c>
      <c r="AP91" s="78">
        <f t="shared" si="63"/>
        <v>39.30625</v>
      </c>
      <c r="AQ91" s="78">
        <f t="shared" si="64"/>
        <v>103.37142857142857</v>
      </c>
      <c r="AR91" s="68">
        <f t="shared" si="34"/>
        <v>0.22335722228305327</v>
      </c>
      <c r="AS91" s="78">
        <f t="shared" si="65"/>
        <v>4.838709677419355</v>
      </c>
      <c r="AT91" s="78"/>
      <c r="AU91" s="78">
        <f t="shared" si="66"/>
        <v>0.06349206349206349</v>
      </c>
      <c r="AV91" s="78">
        <f t="shared" si="67"/>
        <v>0.07935384615384615</v>
      </c>
      <c r="AW91" s="97">
        <f t="shared" si="35"/>
        <v>0.7142857142857143</v>
      </c>
      <c r="AX91" s="68">
        <f t="shared" si="36"/>
        <v>-1.7857142857142858</v>
      </c>
      <c r="AY91" s="68"/>
      <c r="AZ91" s="68">
        <f t="shared" si="37"/>
        <v>2.5</v>
      </c>
      <c r="BA91" s="103">
        <f t="shared" si="38"/>
        <v>235.74469262621437</v>
      </c>
      <c r="BB91" s="103">
        <f t="shared" si="39"/>
        <v>144.46339285714285</v>
      </c>
      <c r="BC91" s="27">
        <f t="shared" si="40"/>
        <v>24.008247918511763</v>
      </c>
      <c r="BD91" s="79">
        <f>(('[1]setup'!$B$13*'[1]setup'!$B$14*'[1]setup'!$B$15)/10^(-S91))*10^6</f>
        <v>53.087686973432696</v>
      </c>
      <c r="BE91" s="73">
        <f t="shared" si="41"/>
        <v>15.051177060105774</v>
      </c>
      <c r="BF91" s="74">
        <f t="shared" si="42"/>
        <v>91.2812997690715</v>
      </c>
      <c r="BG91" s="72">
        <f t="shared" si="43"/>
        <v>235.9680498484974</v>
      </c>
      <c r="BH91" s="72">
        <f t="shared" si="44"/>
        <v>212.6022568906813</v>
      </c>
      <c r="BI91" s="75">
        <f t="shared" si="45"/>
        <v>5.208947762875919</v>
      </c>
      <c r="BJ91" s="58"/>
      <c r="BK91" s="92">
        <f>(3*('[1]setup'!$D$19*(10^-S91)^3)+2*('[1]setup'!$D$20*'[1]setup'!$D$19*((10^-S91)^2))+('[1]setup'!$D$21*'[1]setup'!$D$19*10^-S91)+('[1]setup'!$D$19*'[1]setup'!$D$22*(AP91/(10^6*2))*(10^-S91)^3))*10^6</f>
        <v>0.0002314779805085775</v>
      </c>
      <c r="BL91" s="93">
        <f t="shared" si="46"/>
        <v>38.41720149590239</v>
      </c>
      <c r="BM91" s="74">
        <f>(BL91/((('[1]setup'!$C$26)/10^-S91)+2*(('[1]setup'!$C$26*'[1]setup'!$C$27)/(10^-S91^2))+3*(('[1]setup'!$C$26*'[1]setup'!$C$27*'[1]setup'!$C$28)/(10^-S91^3))))/(10^-S91^3/(10^-S91^3+'[1]setup'!$C$26*10^-S91^2+'[1]setup'!$C$26*'[1]setup'!$C$27*10^-S91+'[1]setup'!$C$26*'[1]setup'!$C$27*'[1]setup'!$C$28))</f>
        <v>14.755036959308857</v>
      </c>
      <c r="BN91" s="74"/>
      <c r="BO91" s="123">
        <f t="shared" si="47"/>
        <v>235.74469262621434</v>
      </c>
      <c r="BP91" s="123">
        <f t="shared" si="48"/>
        <v>144.46339285714285</v>
      </c>
      <c r="BQ91" s="123">
        <f t="shared" si="49"/>
        <v>1.6318645711120592</v>
      </c>
      <c r="BR91" s="123">
        <f t="shared" si="50"/>
        <v>90.5670140547858</v>
      </c>
      <c r="BS91" s="123">
        <f t="shared" si="51"/>
        <v>1.4064940995505562</v>
      </c>
    </row>
    <row r="92" spans="1:71" ht="12.75">
      <c r="A92" s="124">
        <v>40322</v>
      </c>
      <c r="B92" s="16">
        <v>16.4</v>
      </c>
      <c r="C92" s="1" t="s">
        <v>85</v>
      </c>
      <c r="D92" s="111">
        <v>1024028</v>
      </c>
      <c r="F92" s="131">
        <v>0.006</v>
      </c>
      <c r="G92" s="147">
        <v>0.002303</v>
      </c>
      <c r="H92" s="147">
        <v>0.02072</v>
      </c>
      <c r="I92" s="147">
        <v>2.305</v>
      </c>
      <c r="J92" s="172">
        <v>0.01</v>
      </c>
      <c r="K92" s="143">
        <v>0.025</v>
      </c>
      <c r="L92" s="173">
        <v>0.005</v>
      </c>
      <c r="M92" s="147">
        <v>0.2122</v>
      </c>
      <c r="N92" s="147">
        <v>1.21</v>
      </c>
      <c r="O92" s="147">
        <v>0.3813</v>
      </c>
      <c r="P92" s="147">
        <v>3.478</v>
      </c>
      <c r="Q92" s="143">
        <v>0.649</v>
      </c>
      <c r="R92" s="143">
        <v>3.95</v>
      </c>
      <c r="S92" s="9">
        <v>6.865</v>
      </c>
      <c r="T92" s="9">
        <v>17</v>
      </c>
      <c r="U92" s="9">
        <v>28.84</v>
      </c>
      <c r="V92" s="147">
        <v>0.05</v>
      </c>
      <c r="W92" s="174"/>
      <c r="X92" s="147">
        <v>0.002</v>
      </c>
      <c r="Y92" s="147">
        <v>0.002</v>
      </c>
      <c r="Z92" s="147">
        <v>1.117</v>
      </c>
      <c r="AA92" s="147">
        <v>0.01</v>
      </c>
      <c r="AB92" s="75">
        <v>-0.025</v>
      </c>
      <c r="AD92" s="132">
        <v>0.1494</v>
      </c>
      <c r="AE92" s="78">
        <f t="shared" si="52"/>
        <v>0.2142857142857143</v>
      </c>
      <c r="AF92" s="78">
        <f t="shared" si="53"/>
        <v>0.08374545454545454</v>
      </c>
      <c r="AG92" s="78">
        <f t="shared" si="54"/>
        <v>2.302222222222222</v>
      </c>
      <c r="AH92" s="78">
        <f t="shared" si="55"/>
        <v>329.2857142857143</v>
      </c>
      <c r="AI92" s="78">
        <f t="shared" si="56"/>
        <v>0.7142857142857143</v>
      </c>
      <c r="AJ92" s="78">
        <f t="shared" si="57"/>
        <v>1.7857142857142858</v>
      </c>
      <c r="AK92" s="78">
        <f t="shared" si="58"/>
        <v>0.4838709677419355</v>
      </c>
      <c r="AL92" s="78">
        <f t="shared" si="59"/>
        <v>5.441025641025641</v>
      </c>
      <c r="AM92" s="78">
        <f t="shared" si="60"/>
        <v>60.5</v>
      </c>
      <c r="AN92" s="78">
        <f t="shared" si="61"/>
        <v>31.775</v>
      </c>
      <c r="AO92" s="78">
        <f t="shared" si="62"/>
        <v>151.21739130434784</v>
      </c>
      <c r="AP92" s="78">
        <f t="shared" si="63"/>
        <v>40.5625</v>
      </c>
      <c r="AQ92" s="78">
        <f t="shared" si="64"/>
        <v>112.85714285714286</v>
      </c>
      <c r="AR92" s="68">
        <f t="shared" si="34"/>
        <v>0.13645831365889238</v>
      </c>
      <c r="AS92" s="78">
        <f t="shared" si="65"/>
        <v>4.838709677419355</v>
      </c>
      <c r="AT92" s="78"/>
      <c r="AU92" s="78">
        <f t="shared" si="66"/>
        <v>0.06349206349206349</v>
      </c>
      <c r="AV92" s="78">
        <f t="shared" si="67"/>
        <v>0.061538461538461535</v>
      </c>
      <c r="AW92" s="97">
        <f t="shared" si="35"/>
        <v>0.7142857142857143</v>
      </c>
      <c r="AX92" s="68">
        <f t="shared" si="36"/>
        <v>-1.7857142857142858</v>
      </c>
      <c r="AY92" s="68"/>
      <c r="AZ92" s="68">
        <f t="shared" si="37"/>
        <v>2.5</v>
      </c>
      <c r="BA92" s="103">
        <f t="shared" si="38"/>
        <v>249.64770265965922</v>
      </c>
      <c r="BB92" s="103">
        <f t="shared" si="39"/>
        <v>155.20535714285714</v>
      </c>
      <c r="BC92" s="27">
        <f t="shared" si="40"/>
        <v>23.327561254661187</v>
      </c>
      <c r="BD92" s="79">
        <f>(('[1]setup'!$B$13*'[1]setup'!$B$14*'[1]setup'!$B$15)/10^(-S92))*10^6</f>
        <v>86.89480312250255</v>
      </c>
      <c r="BE92" s="73">
        <f t="shared" si="41"/>
        <v>10.87360373473761</v>
      </c>
      <c r="BF92" s="74">
        <f t="shared" si="42"/>
        <v>94.44234551680208</v>
      </c>
      <c r="BG92" s="72">
        <f t="shared" si="43"/>
        <v>249.7841609733181</v>
      </c>
      <c r="BH92" s="72">
        <f t="shared" si="44"/>
        <v>252.97376400009728</v>
      </c>
      <c r="BI92" s="75">
        <f t="shared" si="45"/>
        <v>0.6344212330313492</v>
      </c>
      <c r="BJ92" s="58"/>
      <c r="BK92" s="92">
        <f>(3*('[1]setup'!$D$19*(10^-S92)^3)+2*('[1]setup'!$D$20*'[1]setup'!$D$19*((10^-S92)^2))+('[1]setup'!$D$21*'[1]setup'!$D$19*10^-S92)+('[1]setup'!$D$19*'[1]setup'!$D$22*(AP92/(10^6*2))*(10^-S92)^3))*10^6</f>
        <v>0.00013248249223852792</v>
      </c>
      <c r="BL92" s="93">
        <f t="shared" si="46"/>
        <v>7.684133190450638</v>
      </c>
      <c r="BM92" s="74">
        <f>(BL92/((('[1]setup'!$C$26)/10^-S92)+2*(('[1]setup'!$C$26*'[1]setup'!$C$27)/(10^-S92^2))+3*(('[1]setup'!$C$26*'[1]setup'!$C$27*'[1]setup'!$C$28)/(10^-S92^3))))/(10^-S92^3/(10^-S92^3+'[1]setup'!$C$26*10^-S92^2+'[1]setup'!$C$26*'[1]setup'!$C$27*10^-S92+'[1]setup'!$C$26*'[1]setup'!$C$27*'[1]setup'!$C$28))</f>
        <v>2.829780532963643</v>
      </c>
      <c r="BN92" s="74"/>
      <c r="BO92" s="123">
        <f t="shared" si="47"/>
        <v>249.6477026596592</v>
      </c>
      <c r="BP92" s="123">
        <f t="shared" si="48"/>
        <v>155.20535714285714</v>
      </c>
      <c r="BQ92" s="123">
        <f t="shared" si="49"/>
        <v>1.6084992635265392</v>
      </c>
      <c r="BR92" s="123">
        <f t="shared" si="50"/>
        <v>93.72805980251636</v>
      </c>
      <c r="BS92" s="123">
        <f t="shared" si="51"/>
        <v>1.3399009356081455</v>
      </c>
    </row>
    <row r="93" spans="1:71" ht="12.75">
      <c r="A93" s="124">
        <v>40336</v>
      </c>
      <c r="B93" s="16">
        <v>17.15</v>
      </c>
      <c r="C93" s="1" t="s">
        <v>85</v>
      </c>
      <c r="D93" s="111">
        <v>1026810</v>
      </c>
      <c r="F93" s="31">
        <v>0.07416</v>
      </c>
      <c r="G93" s="9">
        <v>0.002652</v>
      </c>
      <c r="H93" s="9">
        <v>0.2884</v>
      </c>
      <c r="I93" s="9">
        <v>1.566</v>
      </c>
      <c r="J93" s="130">
        <v>0.01</v>
      </c>
      <c r="K93" s="141">
        <v>0.025</v>
      </c>
      <c r="L93" s="130">
        <v>0.005</v>
      </c>
      <c r="M93" s="9">
        <v>0.2077</v>
      </c>
      <c r="N93" s="9">
        <v>1.2</v>
      </c>
      <c r="O93" s="9">
        <v>0.3841</v>
      </c>
      <c r="P93" s="9">
        <v>3.022</v>
      </c>
      <c r="Q93" s="141">
        <v>0.3898</v>
      </c>
      <c r="R93" s="141">
        <v>3.38</v>
      </c>
      <c r="S93" s="9">
        <v>6.13</v>
      </c>
      <c r="T93" s="9">
        <v>17</v>
      </c>
      <c r="U93" s="9">
        <v>24.98</v>
      </c>
      <c r="V93" s="9">
        <v>0.05</v>
      </c>
      <c r="W93" s="168"/>
      <c r="X93" s="9">
        <v>0.002</v>
      </c>
      <c r="Y93" s="9">
        <v>0.002206</v>
      </c>
      <c r="Z93" s="9">
        <v>9.716</v>
      </c>
      <c r="AA93" s="9">
        <v>0.2178</v>
      </c>
      <c r="AB93" s="75">
        <v>0.1828</v>
      </c>
      <c r="AD93" s="133" t="s">
        <v>114</v>
      </c>
      <c r="AE93" s="78">
        <f t="shared" si="52"/>
        <v>2.6485714285714286</v>
      </c>
      <c r="AF93" s="78">
        <f t="shared" si="53"/>
        <v>0.09643636363636363</v>
      </c>
      <c r="AG93" s="78">
        <f t="shared" si="54"/>
        <v>32.044444444444444</v>
      </c>
      <c r="AH93" s="78">
        <f t="shared" si="55"/>
        <v>223.71428571428572</v>
      </c>
      <c r="AI93" s="78">
        <f t="shared" si="56"/>
        <v>0.7142857142857143</v>
      </c>
      <c r="AJ93" s="78">
        <f t="shared" si="57"/>
        <v>1.7857142857142858</v>
      </c>
      <c r="AK93" s="78">
        <f t="shared" si="58"/>
        <v>0.4838709677419355</v>
      </c>
      <c r="AL93" s="78">
        <f t="shared" si="59"/>
        <v>5.325641025641025</v>
      </c>
      <c r="AM93" s="78">
        <f t="shared" si="60"/>
        <v>60</v>
      </c>
      <c r="AN93" s="78">
        <f t="shared" si="61"/>
        <v>32.00833333333333</v>
      </c>
      <c r="AO93" s="78">
        <f t="shared" si="62"/>
        <v>131.3913043478261</v>
      </c>
      <c r="AP93" s="78">
        <f t="shared" si="63"/>
        <v>24.362499999999997</v>
      </c>
      <c r="AQ93" s="78">
        <f t="shared" si="64"/>
        <v>96.57142857142857</v>
      </c>
      <c r="AR93" s="68">
        <f t="shared" si="34"/>
        <v>0.7413102413009177</v>
      </c>
      <c r="AS93" s="78">
        <f t="shared" si="65"/>
        <v>4.838709677419355</v>
      </c>
      <c r="AT93" s="78"/>
      <c r="AU93" s="78">
        <f t="shared" si="66"/>
        <v>0.06349206349206349</v>
      </c>
      <c r="AV93" s="78">
        <f t="shared" si="67"/>
        <v>0.06787692307692308</v>
      </c>
      <c r="AW93" s="97">
        <f t="shared" si="35"/>
        <v>15.557142857142857</v>
      </c>
      <c r="AX93" s="68">
        <f t="shared" si="36"/>
        <v>13.057142857142855</v>
      </c>
      <c r="AY93" s="68"/>
      <c r="AZ93" s="68">
        <f t="shared" si="37"/>
        <v>2.5</v>
      </c>
      <c r="BA93" s="103">
        <f t="shared" si="38"/>
        <v>229.43956442108617</v>
      </c>
      <c r="BB93" s="103">
        <f t="shared" si="39"/>
        <v>122.71964285714284</v>
      </c>
      <c r="BC93" s="27">
        <f t="shared" si="40"/>
        <v>30.304453030991617</v>
      </c>
      <c r="BD93" s="79">
        <f>(('[1]setup'!$B$13*'[1]setup'!$B$14*'[1]setup'!$B$15)/10^(-S93))*10^6</f>
        <v>15.99535206610599</v>
      </c>
      <c r="BE93" s="73">
        <f t="shared" si="41"/>
        <v>90.28729736927654</v>
      </c>
      <c r="BF93" s="74">
        <f t="shared" si="42"/>
        <v>106.71992156394332</v>
      </c>
      <c r="BG93" s="72">
        <f t="shared" si="43"/>
        <v>230.18087466238708</v>
      </c>
      <c r="BH93" s="72">
        <f t="shared" si="44"/>
        <v>229.0022922925254</v>
      </c>
      <c r="BI93" s="75">
        <f t="shared" si="45"/>
        <v>0.25666933256231766</v>
      </c>
      <c r="BJ93" s="58"/>
      <c r="BK93" s="92">
        <f>(3*('[1]setup'!$D$19*(10^-S93)^3)+2*('[1]setup'!$D$20*'[1]setup'!$D$19*((10^-S93)^2))+('[1]setup'!$D$21*'[1]setup'!$D$19*10^-S93)+('[1]setup'!$D$19*'[1]setup'!$D$22*(AP93/(10^6*2))*(10^-S93)^3))*10^6</f>
        <v>0.0011274494213573622</v>
      </c>
      <c r="BL93" s="93">
        <f t="shared" si="46"/>
        <v>91.46700718855959</v>
      </c>
      <c r="BM93" s="74">
        <f>(BL93/((('[1]setup'!$C$26)/10^-S93)+2*(('[1]setup'!$C$26*'[1]setup'!$C$27)/(10^-S93^2))+3*(('[1]setup'!$C$26*'[1]setup'!$C$27*'[1]setup'!$C$28)/(10^-S93^3))))/(10^-S93^3/(10^-S93^3+'[1]setup'!$C$26*10^-S93^2+'[1]setup'!$C$26*'[1]setup'!$C$27*10^-S93+'[1]setup'!$C$26*'[1]setup'!$C$27*'[1]setup'!$C$28))</f>
        <v>39.81253313749755</v>
      </c>
      <c r="BN93" s="74"/>
      <c r="BO93" s="123">
        <f t="shared" si="47"/>
        <v>229.43956442108617</v>
      </c>
      <c r="BP93" s="123">
        <f t="shared" si="48"/>
        <v>122.71964285714284</v>
      </c>
      <c r="BQ93" s="123">
        <f t="shared" si="49"/>
        <v>1.8696237951749526</v>
      </c>
      <c r="BR93" s="123">
        <f t="shared" si="50"/>
        <v>106.00563584965761</v>
      </c>
      <c r="BS93" s="123">
        <f t="shared" si="51"/>
        <v>1.360560843838436</v>
      </c>
    </row>
    <row r="94" spans="1:71" ht="12.75">
      <c r="A94" s="124">
        <v>40364</v>
      </c>
      <c r="B94" s="16">
        <v>15.15</v>
      </c>
      <c r="C94" s="1" t="s">
        <v>85</v>
      </c>
      <c r="D94" s="111">
        <v>1030522</v>
      </c>
      <c r="F94" s="1">
        <v>0.006</v>
      </c>
      <c r="G94" s="9">
        <v>0.002764</v>
      </c>
      <c r="H94" s="9">
        <v>0.0206</v>
      </c>
      <c r="I94" s="9">
        <v>2.605</v>
      </c>
      <c r="J94" s="130">
        <v>0.01</v>
      </c>
      <c r="K94" s="141">
        <v>0.025</v>
      </c>
      <c r="L94" s="130">
        <v>0.005</v>
      </c>
      <c r="M94" s="9">
        <v>0.2486</v>
      </c>
      <c r="N94" s="9">
        <v>1.43</v>
      </c>
      <c r="O94" s="9">
        <v>0.4494</v>
      </c>
      <c r="P94" s="9">
        <v>4.047</v>
      </c>
      <c r="Q94" s="141">
        <v>0.628</v>
      </c>
      <c r="R94" s="141">
        <v>3.717</v>
      </c>
      <c r="S94" s="9">
        <v>6.794</v>
      </c>
      <c r="T94" s="9">
        <v>16.3</v>
      </c>
      <c r="U94" s="9">
        <v>28.64</v>
      </c>
      <c r="V94" s="9">
        <v>0.05</v>
      </c>
      <c r="W94" s="168"/>
      <c r="X94" s="9">
        <v>0.002</v>
      </c>
      <c r="Y94" s="9">
        <v>0.002</v>
      </c>
      <c r="Z94" s="9">
        <v>1.283</v>
      </c>
      <c r="AA94" s="9">
        <v>0.1231</v>
      </c>
      <c r="AB94" s="75">
        <v>0.0881</v>
      </c>
      <c r="AD94" s="126">
        <v>0.1732</v>
      </c>
      <c r="AE94" s="78">
        <f t="shared" si="52"/>
        <v>0.2142857142857143</v>
      </c>
      <c r="AF94" s="78">
        <f t="shared" si="53"/>
        <v>0.10050909090909091</v>
      </c>
      <c r="AG94" s="78">
        <f t="shared" si="54"/>
        <v>2.2888888888888888</v>
      </c>
      <c r="AH94" s="78">
        <f t="shared" si="55"/>
        <v>372.14285714285717</v>
      </c>
      <c r="AI94" s="78">
        <f t="shared" si="56"/>
        <v>0.7142857142857143</v>
      </c>
      <c r="AJ94" s="78">
        <f t="shared" si="57"/>
        <v>1.7857142857142858</v>
      </c>
      <c r="AK94" s="78">
        <f t="shared" si="58"/>
        <v>0.4838709677419355</v>
      </c>
      <c r="AL94" s="78">
        <f t="shared" si="59"/>
        <v>6.374358974358974</v>
      </c>
      <c r="AM94" s="78">
        <f t="shared" si="60"/>
        <v>71.5</v>
      </c>
      <c r="AN94" s="78">
        <f t="shared" si="61"/>
        <v>37.45</v>
      </c>
      <c r="AO94" s="78">
        <f t="shared" si="62"/>
        <v>175.95652173913044</v>
      </c>
      <c r="AP94" s="78">
        <f t="shared" si="63"/>
        <v>39.25</v>
      </c>
      <c r="AQ94" s="78">
        <f t="shared" si="64"/>
        <v>106.2</v>
      </c>
      <c r="AR94" s="68">
        <f t="shared" si="34"/>
        <v>0.16069412530128785</v>
      </c>
      <c r="AS94" s="78">
        <f t="shared" si="65"/>
        <v>4.838709677419355</v>
      </c>
      <c r="AT94" s="78"/>
      <c r="AU94" s="78">
        <f t="shared" si="66"/>
        <v>0.06349206349206349</v>
      </c>
      <c r="AV94" s="78">
        <f t="shared" si="67"/>
        <v>0.061538461538461535</v>
      </c>
      <c r="AW94" s="97">
        <f t="shared" si="35"/>
        <v>8.792857142857143</v>
      </c>
      <c r="AX94" s="68">
        <f t="shared" si="36"/>
        <v>6.292857142857143</v>
      </c>
      <c r="AY94" s="68"/>
      <c r="AZ94" s="68">
        <f t="shared" si="37"/>
        <v>2.5</v>
      </c>
      <c r="BA94" s="103">
        <f t="shared" si="38"/>
        <v>291.99516642777513</v>
      </c>
      <c r="BB94" s="103">
        <f t="shared" si="39"/>
        <v>147.2357142857143</v>
      </c>
      <c r="BC94" s="27">
        <f t="shared" si="40"/>
        <v>32.95748511737441</v>
      </c>
      <c r="BD94" s="79">
        <f>(('[1]setup'!$B$13*'[1]setup'!$B$14*'[1]setup'!$B$15)/10^(-S94))*10^6</f>
        <v>73.78937019375356</v>
      </c>
      <c r="BE94" s="73">
        <f t="shared" si="41"/>
        <v>12.453544225369553</v>
      </c>
      <c r="BF94" s="74">
        <f t="shared" si="42"/>
        <v>144.75945214206087</v>
      </c>
      <c r="BG94" s="72">
        <f t="shared" si="43"/>
        <v>292.1558605530764</v>
      </c>
      <c r="BH94" s="72">
        <f t="shared" si="44"/>
        <v>233.47862870483738</v>
      </c>
      <c r="BI94" s="75">
        <f t="shared" si="45"/>
        <v>11.163124385365018</v>
      </c>
      <c r="BJ94" s="58"/>
      <c r="BK94" s="92">
        <f>(3*('[1]setup'!$D$19*(10^-S94)^3)+2*('[1]setup'!$D$20*'[1]setup'!$D$19*((10^-S94)^2))+('[1]setup'!$D$21*'[1]setup'!$D$19*10^-S94)+('[1]setup'!$D$19*'[1]setup'!$D$22*(AP94/(10^6*2))*(10^-S94)^3))*10^6</f>
        <v>0.0001588736659219967</v>
      </c>
      <c r="BL94" s="93">
        <f t="shared" si="46"/>
        <v>71.13093494727451</v>
      </c>
      <c r="BM94" s="74">
        <f>(BL94/((('[1]setup'!$C$26)/10^-S94)+2*(('[1]setup'!$C$26*'[1]setup'!$C$27)/(10^-S94^2))+3*(('[1]setup'!$C$26*'[1]setup'!$C$27*'[1]setup'!$C$28)/(10^-S94^3))))/(10^-S94^3/(10^-S94^3+'[1]setup'!$C$26*10^-S94^2+'[1]setup'!$C$26*'[1]setup'!$C$27*10^-S94+'[1]setup'!$C$26*'[1]setup'!$C$27*'[1]setup'!$C$28))</f>
        <v>26.535947192098494</v>
      </c>
      <c r="BN94" s="74"/>
      <c r="BO94" s="123">
        <f t="shared" si="47"/>
        <v>291.99516642777513</v>
      </c>
      <c r="BP94" s="123">
        <f t="shared" si="48"/>
        <v>147.2357142857143</v>
      </c>
      <c r="BQ94" s="123">
        <f t="shared" si="49"/>
        <v>1.983181647498594</v>
      </c>
      <c r="BR94" s="123">
        <f t="shared" si="50"/>
        <v>144.04516642777511</v>
      </c>
      <c r="BS94" s="123">
        <f t="shared" si="51"/>
        <v>1.6568410709899288</v>
      </c>
    </row>
    <row r="95" spans="1:71" ht="12.75">
      <c r="A95" s="124">
        <v>40399</v>
      </c>
      <c r="B95" s="16">
        <v>16.5</v>
      </c>
      <c r="C95" s="1" t="s">
        <v>85</v>
      </c>
      <c r="D95" s="111">
        <v>1035957</v>
      </c>
      <c r="F95" s="31">
        <v>0.1202</v>
      </c>
      <c r="G95" s="9">
        <v>0.005491</v>
      </c>
      <c r="H95" s="9">
        <v>0.3426</v>
      </c>
      <c r="I95" s="9">
        <v>1.127</v>
      </c>
      <c r="J95" s="130">
        <v>0.01</v>
      </c>
      <c r="K95" s="141">
        <v>0.025955</v>
      </c>
      <c r="L95" s="130">
        <v>0.005</v>
      </c>
      <c r="M95" s="9">
        <v>0.1</v>
      </c>
      <c r="N95" s="9">
        <v>1.056</v>
      </c>
      <c r="O95" s="9">
        <v>0.3902</v>
      </c>
      <c r="P95" s="9">
        <v>2.825</v>
      </c>
      <c r="Q95" s="141">
        <v>0.3519</v>
      </c>
      <c r="R95" s="141">
        <v>2.118</v>
      </c>
      <c r="S95" s="9">
        <v>5.519</v>
      </c>
      <c r="T95" s="9">
        <v>16.6</v>
      </c>
      <c r="U95" s="9">
        <v>20.52</v>
      </c>
      <c r="V95" s="9">
        <v>0.05</v>
      </c>
      <c r="W95" s="168"/>
      <c r="X95" s="9">
        <v>0.002</v>
      </c>
      <c r="Y95" s="9">
        <v>0.002094</v>
      </c>
      <c r="Z95" s="9">
        <v>12.38</v>
      </c>
      <c r="AA95" s="9">
        <v>0.3302</v>
      </c>
      <c r="AB95" s="75">
        <v>0.294245</v>
      </c>
      <c r="AD95" s="126">
        <v>0.08082</v>
      </c>
      <c r="AE95" s="78">
        <f t="shared" si="52"/>
        <v>4.292857142857143</v>
      </c>
      <c r="AF95" s="78">
        <f t="shared" si="53"/>
        <v>0.19967272727272728</v>
      </c>
      <c r="AG95" s="78">
        <f t="shared" si="54"/>
        <v>38.06666666666667</v>
      </c>
      <c r="AH95" s="78">
        <f t="shared" si="55"/>
        <v>161</v>
      </c>
      <c r="AI95" s="78">
        <f t="shared" si="56"/>
        <v>0.7142857142857143</v>
      </c>
      <c r="AJ95" s="78">
        <f t="shared" si="57"/>
        <v>1.8539285714285711</v>
      </c>
      <c r="AK95" s="78">
        <f t="shared" si="58"/>
        <v>0.4838709677419355</v>
      </c>
      <c r="AL95" s="78">
        <f t="shared" si="59"/>
        <v>2.5641025641025643</v>
      </c>
      <c r="AM95" s="78">
        <f t="shared" si="60"/>
        <v>52.8</v>
      </c>
      <c r="AN95" s="78">
        <f t="shared" si="61"/>
        <v>32.516666666666666</v>
      </c>
      <c r="AO95" s="78">
        <f t="shared" si="62"/>
        <v>122.82608695652175</v>
      </c>
      <c r="AP95" s="78">
        <f t="shared" si="63"/>
        <v>21.99375</v>
      </c>
      <c r="AQ95" s="78">
        <f t="shared" si="64"/>
        <v>60.514285714285705</v>
      </c>
      <c r="AR95" s="68">
        <f t="shared" si="34"/>
        <v>3.026913428101305</v>
      </c>
      <c r="AS95" s="78">
        <f t="shared" si="65"/>
        <v>4.838709677419355</v>
      </c>
      <c r="AT95" s="78"/>
      <c r="AU95" s="78">
        <f t="shared" si="66"/>
        <v>0.06349206349206349</v>
      </c>
      <c r="AV95" s="78">
        <f t="shared" si="67"/>
        <v>0.06443076923076924</v>
      </c>
      <c r="AW95" s="97">
        <f t="shared" si="35"/>
        <v>23.585714285714285</v>
      </c>
      <c r="AX95" s="68">
        <f t="shared" si="36"/>
        <v>21.0175</v>
      </c>
      <c r="AY95" s="68"/>
      <c r="AZ95" s="68">
        <f t="shared" si="37"/>
        <v>2.5682142857142853</v>
      </c>
      <c r="BA95" s="103">
        <f t="shared" si="38"/>
        <v>211.4211419015767</v>
      </c>
      <c r="BB95" s="103">
        <f t="shared" si="39"/>
        <v>84.36196428571428</v>
      </c>
      <c r="BC95" s="27">
        <f t="shared" si="40"/>
        <v>42.95687446578104</v>
      </c>
      <c r="BD95" s="79">
        <f>(('[1]setup'!$B$13*'[1]setup'!$B$14*'[1]setup'!$B$15)/10^(-S95))*10^6</f>
        <v>3.9173628785465575</v>
      </c>
      <c r="BE95" s="73">
        <f t="shared" si="41"/>
        <v>106.17228274299045</v>
      </c>
      <c r="BF95" s="74">
        <f t="shared" si="42"/>
        <v>127.05917761586242</v>
      </c>
      <c r="BG95" s="72">
        <f t="shared" si="43"/>
        <v>214.448055329678</v>
      </c>
      <c r="BH95" s="72">
        <f t="shared" si="44"/>
        <v>194.45160990725128</v>
      </c>
      <c r="BI95" s="75">
        <f t="shared" si="45"/>
        <v>4.890306136797679</v>
      </c>
      <c r="BJ95" s="58"/>
      <c r="BK95" s="92">
        <f>(3*('[1]setup'!$D$19*(10^-S95)^3)+2*('[1]setup'!$D$20*'[1]setup'!$D$19*((10^-S95)^2))+('[1]setup'!$D$21*'[1]setup'!$D$19*10^-S95)+('[1]setup'!$D$19*'[1]setup'!$D$22*(AP95/(10^6*2))*(10^-S95)^3))*10^6</f>
        <v>0.016911563570239006</v>
      </c>
      <c r="BL95" s="93">
        <f t="shared" si="46"/>
        <v>126.1856397289874</v>
      </c>
      <c r="BM95" s="74">
        <f>(BL95/((('[1]setup'!$C$26)/10^-S95)+2*(('[1]setup'!$C$26*'[1]setup'!$C$27)/(10^-S95^2))+3*(('[1]setup'!$C$26*'[1]setup'!$C$27*'[1]setup'!$C$28)/(10^-S95^3))))/(10^-S95^3/(10^-S95^3+'[1]setup'!$C$26*10^-S95^2+'[1]setup'!$C$26*'[1]setup'!$C$27*10^-S95+'[1]setup'!$C$26*'[1]setup'!$C$27*'[1]setup'!$C$28))</f>
        <v>62.68060528811253</v>
      </c>
      <c r="BN95" s="74"/>
      <c r="BO95" s="123">
        <f t="shared" si="47"/>
        <v>211.42114190157668</v>
      </c>
      <c r="BP95" s="123">
        <f t="shared" si="48"/>
        <v>84.36196428571428</v>
      </c>
      <c r="BQ95" s="123">
        <f t="shared" si="49"/>
        <v>2.506119240959618</v>
      </c>
      <c r="BR95" s="123">
        <f t="shared" si="50"/>
        <v>126.3448919015767</v>
      </c>
      <c r="BS95" s="123">
        <f t="shared" si="51"/>
        <v>2.029703986533646</v>
      </c>
    </row>
    <row r="96" spans="1:71" ht="12.75">
      <c r="A96" s="124">
        <v>40423</v>
      </c>
      <c r="B96" s="16">
        <v>15.5</v>
      </c>
      <c r="C96" s="1" t="s">
        <v>85</v>
      </c>
      <c r="D96" s="111">
        <v>1038484</v>
      </c>
      <c r="F96" s="1">
        <v>0.006</v>
      </c>
      <c r="G96" s="9">
        <v>0.002986</v>
      </c>
      <c r="H96" s="9">
        <v>0.104</v>
      </c>
      <c r="I96" s="9">
        <v>2.201</v>
      </c>
      <c r="J96" s="9">
        <v>0.023</v>
      </c>
      <c r="K96" s="141">
        <v>0.02572</v>
      </c>
      <c r="L96" s="9">
        <v>0.005</v>
      </c>
      <c r="M96" s="9">
        <v>0.218</v>
      </c>
      <c r="N96" s="9">
        <v>1.343</v>
      </c>
      <c r="O96" s="9">
        <v>0.4404</v>
      </c>
      <c r="P96" s="9">
        <v>4.07</v>
      </c>
      <c r="Q96" s="141">
        <v>0.6131</v>
      </c>
      <c r="R96" s="141">
        <v>3.051</v>
      </c>
      <c r="S96" s="9">
        <v>6.719</v>
      </c>
      <c r="T96" s="9">
        <v>19.4</v>
      </c>
      <c r="U96" s="9">
        <v>25.43</v>
      </c>
      <c r="V96" s="9">
        <v>0.05</v>
      </c>
      <c r="W96" s="168"/>
      <c r="X96" s="9">
        <v>0.002</v>
      </c>
      <c r="Y96" s="9">
        <v>0.002284</v>
      </c>
      <c r="Z96" s="175">
        <v>2.617</v>
      </c>
      <c r="AA96" s="175">
        <v>0.1182</v>
      </c>
      <c r="AB96" s="75">
        <v>0.06948</v>
      </c>
      <c r="AD96" s="126">
        <v>0.1708</v>
      </c>
      <c r="AE96" s="78">
        <f t="shared" si="52"/>
        <v>0.2142857142857143</v>
      </c>
      <c r="AF96" s="78">
        <f t="shared" si="53"/>
        <v>0.10858181818181818</v>
      </c>
      <c r="AG96" s="78">
        <f t="shared" si="54"/>
        <v>11.555555555555555</v>
      </c>
      <c r="AH96" s="78">
        <f t="shared" si="55"/>
        <v>314.42857142857144</v>
      </c>
      <c r="AI96" s="78">
        <f t="shared" si="56"/>
        <v>1.6428571428571428</v>
      </c>
      <c r="AJ96" s="78">
        <f t="shared" si="57"/>
        <v>1.837142857142857</v>
      </c>
      <c r="AK96" s="78">
        <f t="shared" si="58"/>
        <v>0.4838709677419355</v>
      </c>
      <c r="AL96" s="78">
        <f t="shared" si="59"/>
        <v>5.589743589743589</v>
      </c>
      <c r="AM96" s="78">
        <f t="shared" si="60"/>
        <v>67.15</v>
      </c>
      <c r="AN96" s="78">
        <f t="shared" si="61"/>
        <v>36.7</v>
      </c>
      <c r="AO96" s="78">
        <f t="shared" si="62"/>
        <v>176.95652173913047</v>
      </c>
      <c r="AP96" s="78">
        <f t="shared" si="63"/>
        <v>38.31875</v>
      </c>
      <c r="AQ96" s="78">
        <f t="shared" si="64"/>
        <v>87.17142857142858</v>
      </c>
      <c r="AR96" s="68">
        <f t="shared" si="34"/>
        <v>0.19098532585662367</v>
      </c>
      <c r="AS96" s="78">
        <f t="shared" si="65"/>
        <v>4.838709677419355</v>
      </c>
      <c r="AT96" s="78"/>
      <c r="AU96" s="78">
        <f t="shared" si="66"/>
        <v>0.06349206349206349</v>
      </c>
      <c r="AV96" s="78">
        <f t="shared" si="67"/>
        <v>0.07027692307692307</v>
      </c>
      <c r="AW96" s="97">
        <f t="shared" si="35"/>
        <v>8.442857142857143</v>
      </c>
      <c r="AX96" s="68">
        <f t="shared" si="36"/>
        <v>4.962857142857143</v>
      </c>
      <c r="AY96" s="68"/>
      <c r="AZ96" s="68">
        <f t="shared" si="37"/>
        <v>3.4799999999999995</v>
      </c>
      <c r="BA96" s="103">
        <f t="shared" si="38"/>
        <v>288.0391224717312</v>
      </c>
      <c r="BB96" s="103">
        <f t="shared" si="39"/>
        <v>127.32732142857144</v>
      </c>
      <c r="BC96" s="27">
        <f t="shared" si="40"/>
        <v>38.69157063677831</v>
      </c>
      <c r="BD96" s="79">
        <f>(('[1]setup'!$B$13*'[1]setup'!$B$14*'[1]setup'!$B$15)/10^(-S96))*10^6</f>
        <v>62.08601758608317</v>
      </c>
      <c r="BE96" s="73">
        <f t="shared" si="41"/>
        <v>25.317171501363106</v>
      </c>
      <c r="BF96" s="74">
        <f t="shared" si="42"/>
        <v>160.7118010431598</v>
      </c>
      <c r="BG96" s="72">
        <f t="shared" si="43"/>
        <v>288.23010779758783</v>
      </c>
      <c r="BH96" s="72">
        <f t="shared" si="44"/>
        <v>214.73051051601772</v>
      </c>
      <c r="BI96" s="75">
        <f t="shared" si="45"/>
        <v>14.613390115514315</v>
      </c>
      <c r="BJ96" s="58"/>
      <c r="BK96" s="92">
        <f>(3*('[1]setup'!$D$19*(10^-S96)^3)+2*('[1]setup'!$D$20*'[1]setup'!$D$19*((10^-S96)^2))+('[1]setup'!$D$21*'[1]setup'!$D$19*10^-S96)+('[1]setup'!$D$19*'[1]setup'!$D$22*(AP96/(10^6*2))*(10^-S96)^3))*10^6</f>
        <v>0.000193167438825439</v>
      </c>
      <c r="BL96" s="93">
        <f t="shared" si="46"/>
        <v>98.8169619503721</v>
      </c>
      <c r="BM96" s="74">
        <f>(BL96/((('[1]setup'!$C$26)/10^-S96)+2*(('[1]setup'!$C$26*'[1]setup'!$C$27)/(10^-S96^2))+3*(('[1]setup'!$C$26*'[1]setup'!$C$27*'[1]setup'!$C$28)/(10^-S96^3))))/(10^-S96^3/(10^-S96^3+'[1]setup'!$C$26*10^-S96^2+'[1]setup'!$C$26*'[1]setup'!$C$27*10^-S96+'[1]setup'!$C$26*'[1]setup'!$C$27*'[1]setup'!$C$28))</f>
        <v>37.41335639150215</v>
      </c>
      <c r="BN96" s="74"/>
      <c r="BO96" s="123">
        <f t="shared" si="47"/>
        <v>288.0391224717312</v>
      </c>
      <c r="BP96" s="123">
        <f t="shared" si="48"/>
        <v>127.32732142857144</v>
      </c>
      <c r="BQ96" s="123">
        <f t="shared" si="49"/>
        <v>2.2621941562896732</v>
      </c>
      <c r="BR96" s="123">
        <f t="shared" si="50"/>
        <v>159.0689439003026</v>
      </c>
      <c r="BS96" s="123">
        <f t="shared" si="51"/>
        <v>2.0299830419107066</v>
      </c>
    </row>
    <row r="97" spans="1:71" ht="12.75">
      <c r="A97" s="124">
        <v>40449</v>
      </c>
      <c r="B97" s="16">
        <v>18</v>
      </c>
      <c r="C97" s="1" t="s">
        <v>85</v>
      </c>
      <c r="D97" s="111">
        <v>1040553</v>
      </c>
      <c r="F97" s="31">
        <v>0.04524</v>
      </c>
      <c r="G97" s="9">
        <v>0.002007</v>
      </c>
      <c r="H97" s="9">
        <v>0.09124</v>
      </c>
      <c r="I97" s="9">
        <v>1.576</v>
      </c>
      <c r="J97" s="9">
        <v>0.01</v>
      </c>
      <c r="K97" s="130">
        <v>0.025</v>
      </c>
      <c r="L97" s="9">
        <v>0.006</v>
      </c>
      <c r="M97" s="9">
        <v>0.2071</v>
      </c>
      <c r="N97" s="9">
        <v>1.13</v>
      </c>
      <c r="O97" s="9">
        <v>0.6236</v>
      </c>
      <c r="P97" s="9">
        <v>4.047</v>
      </c>
      <c r="Q97" s="141">
        <v>0.6225</v>
      </c>
      <c r="R97" s="141">
        <v>3.411</v>
      </c>
      <c r="S97" s="9">
        <v>6.601</v>
      </c>
      <c r="T97" s="9">
        <v>17</v>
      </c>
      <c r="U97" s="9">
        <v>23.41</v>
      </c>
      <c r="V97" s="9">
        <v>0.05</v>
      </c>
      <c r="W97" s="168"/>
      <c r="X97" s="9">
        <v>0.002</v>
      </c>
      <c r="Y97" s="9">
        <v>0.002</v>
      </c>
      <c r="Z97" s="9">
        <v>2.528</v>
      </c>
      <c r="AA97" s="9">
        <v>0.1104</v>
      </c>
      <c r="AB97" s="75">
        <v>0.0754</v>
      </c>
      <c r="AD97" s="126">
        <v>0.1651</v>
      </c>
      <c r="AE97" s="78">
        <f t="shared" si="52"/>
        <v>1.6157142857142859</v>
      </c>
      <c r="AF97" s="78">
        <f t="shared" si="53"/>
        <v>0.07298181818181818</v>
      </c>
      <c r="AG97" s="78">
        <f t="shared" si="54"/>
        <v>10.137777777777778</v>
      </c>
      <c r="AH97" s="78">
        <f t="shared" si="55"/>
        <v>225.14285714285714</v>
      </c>
      <c r="AI97" s="78">
        <f t="shared" si="56"/>
        <v>0.7142857142857143</v>
      </c>
      <c r="AJ97" s="78">
        <f t="shared" si="57"/>
        <v>1.7857142857142858</v>
      </c>
      <c r="AK97" s="78">
        <f t="shared" si="58"/>
        <v>0.5806451612903225</v>
      </c>
      <c r="AL97" s="78">
        <f t="shared" si="59"/>
        <v>5.310256410256411</v>
      </c>
      <c r="AM97" s="78">
        <f t="shared" si="60"/>
        <v>56.49999999999999</v>
      </c>
      <c r="AN97" s="78">
        <f t="shared" si="61"/>
        <v>51.96666666666667</v>
      </c>
      <c r="AO97" s="78">
        <f t="shared" si="62"/>
        <v>175.95652173913044</v>
      </c>
      <c r="AP97" s="78">
        <f t="shared" si="63"/>
        <v>38.90625</v>
      </c>
      <c r="AQ97" s="78">
        <f t="shared" si="64"/>
        <v>97.45714285714286</v>
      </c>
      <c r="AR97" s="68">
        <f t="shared" si="34"/>
        <v>0.25061092530321133</v>
      </c>
      <c r="AS97" s="78">
        <f t="shared" si="65"/>
        <v>4.838709677419355</v>
      </c>
      <c r="AT97" s="78"/>
      <c r="AU97" s="78">
        <f t="shared" si="66"/>
        <v>0.06349206349206349</v>
      </c>
      <c r="AV97" s="78">
        <f t="shared" si="67"/>
        <v>0.061538461538461535</v>
      </c>
      <c r="AW97" s="97">
        <f t="shared" si="35"/>
        <v>7.885714285714286</v>
      </c>
      <c r="AX97" s="68">
        <f t="shared" si="36"/>
        <v>5.385714285714285</v>
      </c>
      <c r="AY97" s="68"/>
      <c r="AZ97" s="68">
        <f t="shared" si="37"/>
        <v>2.5</v>
      </c>
      <c r="BA97" s="103">
        <f t="shared" si="38"/>
        <v>290.44773053033924</v>
      </c>
      <c r="BB97" s="103">
        <f t="shared" si="39"/>
        <v>138.14910714285713</v>
      </c>
      <c r="BC97" s="27">
        <f t="shared" si="40"/>
        <v>35.53423870654158</v>
      </c>
      <c r="BD97" s="79">
        <f>(('[1]setup'!$B$13*'[1]setup'!$B$14*'[1]setup'!$B$15)/10^(-S97))*10^6</f>
        <v>47.31445081842253</v>
      </c>
      <c r="BE97" s="73">
        <f t="shared" si="41"/>
        <v>24.310948057567302</v>
      </c>
      <c r="BF97" s="74">
        <f t="shared" si="42"/>
        <v>152.29862338748205</v>
      </c>
      <c r="BG97" s="72">
        <f t="shared" si="43"/>
        <v>290.6983414556424</v>
      </c>
      <c r="BH97" s="72">
        <f t="shared" si="44"/>
        <v>209.77450601884698</v>
      </c>
      <c r="BI97" s="75">
        <f t="shared" si="45"/>
        <v>16.169475695865863</v>
      </c>
      <c r="BJ97" s="58"/>
      <c r="BK97" s="92">
        <f>(3*('[1]setup'!$D$19*(10^-S97)^3)+2*('[1]setup'!$D$20*'[1]setup'!$D$19*((10^-S97)^2))+('[1]setup'!$D$21*'[1]setup'!$D$19*10^-S97)+('[1]setup'!$D$19*'[1]setup'!$D$22*(AP97/(10^6*2))*(10^-S97)^3))*10^6</f>
        <v>0.00026510521021057536</v>
      </c>
      <c r="BL97" s="93">
        <f t="shared" si="46"/>
        <v>105.2350485995729</v>
      </c>
      <c r="BM97" s="74">
        <f>(BL97/((('[1]setup'!$C$26)/10^-S97)+2*(('[1]setup'!$C$26*'[1]setup'!$C$27)/(10^-S97^2))+3*(('[1]setup'!$C$26*'[1]setup'!$C$27*'[1]setup'!$C$28)/(10^-S97^3))))/(10^-S97^3/(10^-S97^3+'[1]setup'!$C$26*10^-S97^2+'[1]setup'!$C$26*'[1]setup'!$C$27*10^-S97+'[1]setup'!$C$26*'[1]setup'!$C$27*'[1]setup'!$C$28))</f>
        <v>40.86640514801775</v>
      </c>
      <c r="BN97" s="74"/>
      <c r="BO97" s="123">
        <f t="shared" si="47"/>
        <v>290.4477305303392</v>
      </c>
      <c r="BP97" s="123">
        <f t="shared" si="48"/>
        <v>138.14910714285713</v>
      </c>
      <c r="BQ97" s="123">
        <f t="shared" si="49"/>
        <v>2.102422060752034</v>
      </c>
      <c r="BR97" s="123">
        <f t="shared" si="50"/>
        <v>151.5843376731964</v>
      </c>
      <c r="BS97" s="123">
        <f t="shared" si="51"/>
        <v>1.805475890023326</v>
      </c>
    </row>
    <row r="98" spans="1:71" ht="15">
      <c r="A98" s="124">
        <v>40469</v>
      </c>
      <c r="B98" s="16">
        <v>16.4</v>
      </c>
      <c r="C98" s="1" t="s">
        <v>85</v>
      </c>
      <c r="D98" s="111">
        <v>1042093</v>
      </c>
      <c r="F98" s="1">
        <v>0.006</v>
      </c>
      <c r="G98" s="9">
        <v>0.002232</v>
      </c>
      <c r="H98" s="9">
        <v>0.035</v>
      </c>
      <c r="I98" s="9">
        <v>1.689</v>
      </c>
      <c r="J98" s="130">
        <v>0.011</v>
      </c>
      <c r="K98" s="141">
        <v>0.04614</v>
      </c>
      <c r="L98" s="130">
        <v>0.006</v>
      </c>
      <c r="M98" s="9">
        <v>0.2414</v>
      </c>
      <c r="N98" s="9">
        <v>1.039</v>
      </c>
      <c r="O98" s="9">
        <v>0.3382</v>
      </c>
      <c r="P98" s="9">
        <v>2.895</v>
      </c>
      <c r="Q98" s="141">
        <v>0.6214</v>
      </c>
      <c r="R98" s="141">
        <v>3.378</v>
      </c>
      <c r="S98" s="9">
        <v>6.703</v>
      </c>
      <c r="T98" s="9">
        <v>11.7</v>
      </c>
      <c r="U98" s="9">
        <v>26.7</v>
      </c>
      <c r="V98" s="9">
        <v>0.05</v>
      </c>
      <c r="W98" s="168"/>
      <c r="X98" s="9">
        <v>0.002</v>
      </c>
      <c r="Y98" s="9">
        <v>0.002</v>
      </c>
      <c r="Z98" s="176">
        <v>1.53</v>
      </c>
      <c r="AA98" s="9">
        <v>0.01</v>
      </c>
      <c r="AB98" s="75">
        <v>-0.047139999999999994</v>
      </c>
      <c r="AD98" s="126">
        <v>0.1678</v>
      </c>
      <c r="AE98" s="78">
        <f t="shared" si="52"/>
        <v>0.2142857142857143</v>
      </c>
      <c r="AF98" s="78">
        <f t="shared" si="53"/>
        <v>0.08116363636363637</v>
      </c>
      <c r="AG98" s="78">
        <f t="shared" si="54"/>
        <v>3.8888888888888897</v>
      </c>
      <c r="AH98" s="78">
        <f t="shared" si="55"/>
        <v>241.2857142857143</v>
      </c>
      <c r="AI98" s="78">
        <f t="shared" si="56"/>
        <v>0.7857142857142856</v>
      </c>
      <c r="AJ98" s="78">
        <f t="shared" si="57"/>
        <v>3.295714285714286</v>
      </c>
      <c r="AK98" s="78">
        <f t="shared" si="58"/>
        <v>0.5806451612903225</v>
      </c>
      <c r="AL98" s="78">
        <f t="shared" si="59"/>
        <v>6.18974358974359</v>
      </c>
      <c r="AM98" s="78">
        <f t="shared" si="60"/>
        <v>51.949999999999996</v>
      </c>
      <c r="AN98" s="78">
        <f t="shared" si="61"/>
        <v>28.183333333333334</v>
      </c>
      <c r="AO98" s="78">
        <f t="shared" si="62"/>
        <v>125.86956521739131</v>
      </c>
      <c r="AP98" s="78">
        <f t="shared" si="63"/>
        <v>38.8375</v>
      </c>
      <c r="AQ98" s="78">
        <f t="shared" si="64"/>
        <v>96.51428571428572</v>
      </c>
      <c r="AR98" s="68">
        <f t="shared" si="34"/>
        <v>0.19815270258050968</v>
      </c>
      <c r="AS98" s="78">
        <f t="shared" si="65"/>
        <v>4.838709677419355</v>
      </c>
      <c r="AT98" s="78"/>
      <c r="AU98" s="78">
        <f t="shared" si="66"/>
        <v>0.06349206349206349</v>
      </c>
      <c r="AV98" s="78">
        <f t="shared" si="67"/>
        <v>0.061538461538461535</v>
      </c>
      <c r="AW98" s="97">
        <f t="shared" si="35"/>
        <v>0.7142857142857143</v>
      </c>
      <c r="AX98" s="68">
        <f t="shared" si="36"/>
        <v>-3.3671428571428565</v>
      </c>
      <c r="AY98" s="68"/>
      <c r="AZ98" s="68">
        <f t="shared" si="37"/>
        <v>4.081428571428571</v>
      </c>
      <c r="BA98" s="103">
        <f t="shared" si="38"/>
        <v>212.97835642618253</v>
      </c>
      <c r="BB98" s="103">
        <f t="shared" si="39"/>
        <v>138.6475</v>
      </c>
      <c r="BC98" s="27">
        <f t="shared" si="40"/>
        <v>21.139189586812122</v>
      </c>
      <c r="BD98" s="79">
        <f>(('[1]setup'!$B$13*'[1]setup'!$B$14*'[1]setup'!$B$15)/10^(-S98))*10^6</f>
        <v>59.84030571069516</v>
      </c>
      <c r="BE98" s="73">
        <f t="shared" si="41"/>
        <v>14.79020446561382</v>
      </c>
      <c r="BF98" s="74">
        <f t="shared" si="42"/>
        <v>74.33085642618249</v>
      </c>
      <c r="BG98" s="72">
        <f t="shared" si="43"/>
        <v>213.176509128763</v>
      </c>
      <c r="BH98" s="72">
        <f t="shared" si="44"/>
        <v>213.27801017630898</v>
      </c>
      <c r="BI98" s="75">
        <f t="shared" si="45"/>
        <v>0.02380114243164339</v>
      </c>
      <c r="BJ98" s="58"/>
      <c r="BK98" s="92">
        <f>(3*('[1]setup'!$D$19*(10^-S98)^3)+2*('[1]setup'!$D$20*'[1]setup'!$D$19*((10^-S98)^2))+('[1]setup'!$D$21*'[1]setup'!$D$19*10^-S98)+('[1]setup'!$D$19*'[1]setup'!$D$22*(AP98/(10^6*2))*(10^-S98)^3))*10^6</f>
        <v>0.00020149982431838696</v>
      </c>
      <c r="BL98" s="93">
        <f t="shared" si="46"/>
        <v>14.68890491789216</v>
      </c>
      <c r="BM98" s="74">
        <f>(BL98/((('[1]setup'!$C$26)/10^-S98)+2*(('[1]setup'!$C$26*'[1]setup'!$C$27)/(10^-S98^2))+3*(('[1]setup'!$C$26*'[1]setup'!$C$27*'[1]setup'!$C$28)/(10^-S98^3))))/(10^-S98^3/(10^-S98^3+'[1]setup'!$C$26*10^-S98^2+'[1]setup'!$C$26*'[1]setup'!$C$27*10^-S98+'[1]setup'!$C$26*'[1]setup'!$C$27*'[1]setup'!$C$28))</f>
        <v>5.579756147098854</v>
      </c>
      <c r="BN98" s="74"/>
      <c r="BO98" s="123">
        <f t="shared" si="47"/>
        <v>212.97835642618253</v>
      </c>
      <c r="BP98" s="123">
        <f t="shared" si="48"/>
        <v>138.6475</v>
      </c>
      <c r="BQ98" s="123">
        <f t="shared" si="49"/>
        <v>1.5361139322828217</v>
      </c>
      <c r="BR98" s="123">
        <f t="shared" si="50"/>
        <v>73.54514214046824</v>
      </c>
      <c r="BS98" s="123">
        <f t="shared" si="51"/>
        <v>1.3041547609854043</v>
      </c>
    </row>
    <row r="99" spans="1:71" ht="12.75">
      <c r="A99" s="124">
        <v>40491</v>
      </c>
      <c r="B99" s="16">
        <v>13.35</v>
      </c>
      <c r="C99" s="1" t="s">
        <v>85</v>
      </c>
      <c r="D99" s="111">
        <v>1043815</v>
      </c>
      <c r="F99" s="1">
        <v>0.006</v>
      </c>
      <c r="G99" s="9">
        <v>0.003491</v>
      </c>
      <c r="H99" s="9">
        <v>0.1828</v>
      </c>
      <c r="I99" s="9">
        <v>1.008</v>
      </c>
      <c r="J99" s="9">
        <v>0.01</v>
      </c>
      <c r="K99" s="141">
        <v>0.025191</v>
      </c>
      <c r="L99" s="9">
        <v>0.006</v>
      </c>
      <c r="M99" s="9">
        <v>0.2535</v>
      </c>
      <c r="N99" s="9">
        <v>0.6075</v>
      </c>
      <c r="O99" s="9">
        <v>0.2933</v>
      </c>
      <c r="P99" s="9">
        <v>2.267</v>
      </c>
      <c r="Q99" s="141">
        <v>0.4223</v>
      </c>
      <c r="R99" s="141">
        <v>3.375</v>
      </c>
      <c r="S99" s="9">
        <v>5.274</v>
      </c>
      <c r="T99" s="9">
        <v>12.3</v>
      </c>
      <c r="U99" s="9">
        <v>21.99</v>
      </c>
      <c r="V99" s="9">
        <v>0.05</v>
      </c>
      <c r="W99" s="168"/>
      <c r="X99" s="9">
        <v>0.002</v>
      </c>
      <c r="Y99" s="9">
        <v>0.003498</v>
      </c>
      <c r="Z99" s="9">
        <v>7.271</v>
      </c>
      <c r="AA99" s="9">
        <v>0.1644</v>
      </c>
      <c r="AB99" s="75">
        <v>0.129209</v>
      </c>
      <c r="AD99" s="126">
        <v>0.08567</v>
      </c>
      <c r="AE99" s="78">
        <f t="shared" si="52"/>
        <v>0.2142857142857143</v>
      </c>
      <c r="AF99" s="78">
        <f t="shared" si="53"/>
        <v>0.12694545454545456</v>
      </c>
      <c r="AG99" s="78">
        <f t="shared" si="54"/>
        <v>20.31111111111111</v>
      </c>
      <c r="AH99" s="78">
        <f t="shared" si="55"/>
        <v>144</v>
      </c>
      <c r="AI99" s="78">
        <f t="shared" si="56"/>
        <v>0.7142857142857143</v>
      </c>
      <c r="AJ99" s="78">
        <f t="shared" si="57"/>
        <v>1.7993571428571429</v>
      </c>
      <c r="AK99" s="78">
        <f t="shared" si="58"/>
        <v>0.5806451612903225</v>
      </c>
      <c r="AL99" s="78">
        <f t="shared" si="59"/>
        <v>6.5</v>
      </c>
      <c r="AM99" s="78">
        <f t="shared" si="60"/>
        <v>30.375000000000004</v>
      </c>
      <c r="AN99" s="78">
        <f t="shared" si="61"/>
        <v>24.441666666666666</v>
      </c>
      <c r="AO99" s="78">
        <f t="shared" si="62"/>
        <v>98.56521739130434</v>
      </c>
      <c r="AP99" s="78">
        <f t="shared" si="63"/>
        <v>26.39375</v>
      </c>
      <c r="AQ99" s="78">
        <f t="shared" si="64"/>
        <v>96.42857142857143</v>
      </c>
      <c r="AR99" s="68">
        <f t="shared" si="34"/>
        <v>5.321082592667944</v>
      </c>
      <c r="AS99" s="78">
        <f t="shared" si="65"/>
        <v>4.838709677419355</v>
      </c>
      <c r="AT99" s="78"/>
      <c r="AU99" s="78">
        <f t="shared" si="66"/>
        <v>0.06349206349206349</v>
      </c>
      <c r="AV99" s="78">
        <f t="shared" si="67"/>
        <v>0.10763076923076922</v>
      </c>
      <c r="AW99" s="97">
        <f t="shared" si="35"/>
        <v>11.742857142857142</v>
      </c>
      <c r="AX99" s="68">
        <f t="shared" si="36"/>
        <v>9.229214285714285</v>
      </c>
      <c r="AY99" s="68"/>
      <c r="AZ99" s="68">
        <f t="shared" si="37"/>
        <v>2.513642857142857</v>
      </c>
      <c r="BA99" s="103">
        <f t="shared" si="38"/>
        <v>160.59616977225673</v>
      </c>
      <c r="BB99" s="103">
        <f t="shared" si="39"/>
        <v>124.62167857142857</v>
      </c>
      <c r="BC99" s="27">
        <f t="shared" si="40"/>
        <v>12.612987374296145</v>
      </c>
      <c r="BD99" s="79">
        <f>(('[1]setup'!$B$13*'[1]setup'!$B$14*'[1]setup'!$B$15)/10^(-S99))*10^6</f>
        <v>2.228403354640074</v>
      </c>
      <c r="BE99" s="73">
        <f t="shared" si="41"/>
        <v>59.46446381920258</v>
      </c>
      <c r="BF99" s="74">
        <f t="shared" si="42"/>
        <v>35.974491200828155</v>
      </c>
      <c r="BG99" s="72">
        <f t="shared" si="43"/>
        <v>165.91725236492468</v>
      </c>
      <c r="BH99" s="72">
        <f t="shared" si="44"/>
        <v>186.31454574527123</v>
      </c>
      <c r="BI99" s="75">
        <f t="shared" si="45"/>
        <v>5.790872229532567</v>
      </c>
      <c r="BJ99" s="58"/>
      <c r="BK99" s="92">
        <f>(3*('[1]setup'!$D$19*(10^-S99)^3)+2*('[1]setup'!$D$20*'[1]setup'!$D$19*((10^-S99)^2))+('[1]setup'!$D$21*'[1]setup'!$D$19*10^-S99)+('[1]setup'!$D$19*'[1]setup'!$D$22*(AP99/(10^6*2))*(10^-S99)^3))*10^6</f>
        <v>0.06829790637264486</v>
      </c>
      <c r="BL99" s="93">
        <f t="shared" si="46"/>
        <v>39.13546834522866</v>
      </c>
      <c r="BM99" s="74">
        <f>(BL99/((('[1]setup'!$C$26)/10^-S99)+2*(('[1]setup'!$C$26*'[1]setup'!$C$27)/(10^-S99^2))+3*(('[1]setup'!$C$26*'[1]setup'!$C$27*'[1]setup'!$C$28)/(10^-S99^3))))/(10^-S99^3/(10^-S99^3+'[1]setup'!$C$26*10^-S99^2+'[1]setup'!$C$26*'[1]setup'!$C$27*10^-S99+'[1]setup'!$C$26*'[1]setup'!$C$27*'[1]setup'!$C$28))</f>
        <v>20.46884319603061</v>
      </c>
      <c r="BN99" s="74"/>
      <c r="BO99" s="123">
        <f t="shared" si="47"/>
        <v>160.59616977225673</v>
      </c>
      <c r="BP99" s="123">
        <f t="shared" si="48"/>
        <v>124.62167857142857</v>
      </c>
      <c r="BQ99" s="123">
        <f t="shared" si="49"/>
        <v>1.2886696087969067</v>
      </c>
      <c r="BR99" s="123">
        <f t="shared" si="50"/>
        <v>35.26020548654243</v>
      </c>
      <c r="BS99" s="123">
        <f t="shared" si="51"/>
        <v>1.0221578099838968</v>
      </c>
    </row>
    <row r="100" spans="1:71" ht="12.75">
      <c r="A100" s="124">
        <v>40526</v>
      </c>
      <c r="B100" s="16">
        <v>13.35</v>
      </c>
      <c r="C100" s="1" t="s">
        <v>85</v>
      </c>
      <c r="D100" s="111">
        <v>1048828</v>
      </c>
      <c r="F100" s="1">
        <v>0.006</v>
      </c>
      <c r="G100" s="9">
        <v>0.002016</v>
      </c>
      <c r="H100" s="9">
        <v>0.08409</v>
      </c>
      <c r="I100" s="9">
        <v>1.567</v>
      </c>
      <c r="J100" s="130">
        <v>0.01</v>
      </c>
      <c r="K100" s="141">
        <v>0.05204</v>
      </c>
      <c r="L100" s="130">
        <v>0.007</v>
      </c>
      <c r="M100" s="9">
        <v>0.2737</v>
      </c>
      <c r="N100" s="9">
        <v>0.8424</v>
      </c>
      <c r="O100" s="9">
        <v>0.2846</v>
      </c>
      <c r="P100" s="9">
        <v>2.919</v>
      </c>
      <c r="Q100" s="141">
        <v>0.5762</v>
      </c>
      <c r="R100" s="141">
        <v>3.367</v>
      </c>
      <c r="S100" s="9">
        <v>6.446</v>
      </c>
      <c r="T100" s="9">
        <v>15.7</v>
      </c>
      <c r="U100" s="9">
        <v>23.16</v>
      </c>
      <c r="V100" s="9">
        <v>0.05</v>
      </c>
      <c r="W100" s="168"/>
      <c r="X100" s="9">
        <v>0.002</v>
      </c>
      <c r="Y100" s="9">
        <v>0.002595</v>
      </c>
      <c r="Z100" s="9">
        <v>2.588</v>
      </c>
      <c r="AA100" s="9">
        <v>0.1536</v>
      </c>
      <c r="AB100" s="75">
        <v>0.09155999999999997</v>
      </c>
      <c r="AD100" s="126">
        <v>0.1562</v>
      </c>
      <c r="AE100" s="78">
        <f t="shared" si="52"/>
        <v>0.2142857142857143</v>
      </c>
      <c r="AF100" s="78">
        <f t="shared" si="53"/>
        <v>0.07330909090909091</v>
      </c>
      <c r="AG100" s="78">
        <f t="shared" si="54"/>
        <v>9.343333333333334</v>
      </c>
      <c r="AH100" s="78">
        <f t="shared" si="55"/>
        <v>223.85714285714283</v>
      </c>
      <c r="AI100" s="78">
        <f t="shared" si="56"/>
        <v>0.7142857142857143</v>
      </c>
      <c r="AJ100" s="78">
        <f t="shared" si="57"/>
        <v>3.717142857142857</v>
      </c>
      <c r="AK100" s="78">
        <f t="shared" si="58"/>
        <v>0.6774193548387097</v>
      </c>
      <c r="AL100" s="78">
        <f t="shared" si="59"/>
        <v>7.017948717948718</v>
      </c>
      <c r="AM100" s="78">
        <f t="shared" si="60"/>
        <v>42.120000000000005</v>
      </c>
      <c r="AN100" s="78">
        <f t="shared" si="61"/>
        <v>23.71666666666667</v>
      </c>
      <c r="AO100" s="78">
        <f t="shared" si="62"/>
        <v>126.91304347826087</v>
      </c>
      <c r="AP100" s="78">
        <f t="shared" si="63"/>
        <v>36.0125</v>
      </c>
      <c r="AQ100" s="78">
        <f t="shared" si="64"/>
        <v>96.19999999999999</v>
      </c>
      <c r="AR100" s="68">
        <f t="shared" si="34"/>
        <v>0.35809643710263617</v>
      </c>
      <c r="AS100" s="78">
        <f t="shared" si="65"/>
        <v>4.838709677419355</v>
      </c>
      <c r="AT100" s="78"/>
      <c r="AU100" s="78">
        <f t="shared" si="66"/>
        <v>0.06349206349206349</v>
      </c>
      <c r="AV100" s="78">
        <f t="shared" si="67"/>
        <v>0.07984615384615386</v>
      </c>
      <c r="AW100" s="97">
        <f t="shared" si="35"/>
        <v>10.971428571428572</v>
      </c>
      <c r="AX100" s="68">
        <f t="shared" si="36"/>
        <v>6.539999999999998</v>
      </c>
      <c r="AY100" s="68"/>
      <c r="AZ100" s="68">
        <f t="shared" si="37"/>
        <v>4.4314285714285715</v>
      </c>
      <c r="BA100" s="103">
        <f t="shared" si="38"/>
        <v>200.48194457716198</v>
      </c>
      <c r="BB100" s="103">
        <f t="shared" si="39"/>
        <v>135.92964285714285</v>
      </c>
      <c r="BC100" s="27">
        <f t="shared" si="40"/>
        <v>19.188489377651134</v>
      </c>
      <c r="BD100" s="79">
        <f>(('[1]setup'!$B$13*'[1]setup'!$B$14*'[1]setup'!$B$15)/10^(-S100))*10^6</f>
        <v>33.11263970051622</v>
      </c>
      <c r="BE100" s="73">
        <f t="shared" si="41"/>
        <v>24.65853360708513</v>
      </c>
      <c r="BF100" s="74">
        <f t="shared" si="42"/>
        <v>64.55230172001916</v>
      </c>
      <c r="BG100" s="72">
        <f t="shared" si="43"/>
        <v>200.8400410142646</v>
      </c>
      <c r="BH100" s="72">
        <f t="shared" si="44"/>
        <v>193.70081616474417</v>
      </c>
      <c r="BI100" s="75">
        <f t="shared" si="45"/>
        <v>1.8095020375244124</v>
      </c>
      <c r="BJ100" s="58"/>
      <c r="BK100" s="92">
        <f>(3*('[1]setup'!$D$19*(10^-S100)^3)+2*('[1]setup'!$D$20*'[1]setup'!$D$19*((10^-S100)^2))+('[1]setup'!$D$21*'[1]setup'!$D$19*10^-S100)+('[1]setup'!$D$19*'[1]setup'!$D$22*(AP100/(10^6*2))*(10^-S100)^3))*10^6</f>
        <v>0.00041070043612088887</v>
      </c>
      <c r="BL100" s="93">
        <f t="shared" si="46"/>
        <v>31.798169157041713</v>
      </c>
      <c r="BM100" s="74">
        <f>(BL100/((('[1]setup'!$C$26)/10^-S100)+2*(('[1]setup'!$C$26*'[1]setup'!$C$27)/(10^-S100^2))+3*(('[1]setup'!$C$26*'[1]setup'!$C$27*'[1]setup'!$C$28)/(10^-S100^3))))/(10^-S100^3/(10^-S100^3+'[1]setup'!$C$26*10^-S100^2+'[1]setup'!$C$26*'[1]setup'!$C$27*10^-S100+'[1]setup'!$C$26*'[1]setup'!$C$27*'[1]setup'!$C$28))</f>
        <v>12.80529932228288</v>
      </c>
      <c r="BN100" s="74"/>
      <c r="BO100" s="123">
        <f t="shared" si="47"/>
        <v>200.48194457716198</v>
      </c>
      <c r="BP100" s="123">
        <f t="shared" si="48"/>
        <v>135.92964285714285</v>
      </c>
      <c r="BQ100" s="123">
        <f t="shared" si="49"/>
        <v>1.4748949556783673</v>
      </c>
      <c r="BR100" s="123">
        <f t="shared" si="50"/>
        <v>63.83801600573341</v>
      </c>
      <c r="BS100" s="123">
        <f t="shared" si="51"/>
        <v>1.3192624062189282</v>
      </c>
    </row>
    <row r="101" spans="1:71" ht="12.75">
      <c r="A101" s="124">
        <v>40555</v>
      </c>
      <c r="B101" s="16">
        <v>15.4</v>
      </c>
      <c r="C101" s="1" t="s">
        <v>85</v>
      </c>
      <c r="D101" s="111">
        <v>1051857</v>
      </c>
      <c r="F101" s="1">
        <v>0.006</v>
      </c>
      <c r="G101" s="9">
        <v>0.002934</v>
      </c>
      <c r="H101" s="9">
        <v>0.04785</v>
      </c>
      <c r="I101" s="9">
        <v>2.983</v>
      </c>
      <c r="J101" s="130">
        <v>0.01</v>
      </c>
      <c r="K101" s="141">
        <v>0.08714</v>
      </c>
      <c r="L101" s="130">
        <v>0.005</v>
      </c>
      <c r="M101" s="9">
        <v>0.3602</v>
      </c>
      <c r="N101" s="9">
        <v>1.359</v>
      </c>
      <c r="O101" s="9">
        <v>0.4419</v>
      </c>
      <c r="P101" s="9">
        <v>3.805</v>
      </c>
      <c r="Q101" s="141">
        <v>0.6245</v>
      </c>
      <c r="R101" s="141">
        <v>3.359</v>
      </c>
      <c r="S101" s="9">
        <v>6.666</v>
      </c>
      <c r="T101" s="9">
        <v>15.8</v>
      </c>
      <c r="U101" s="9">
        <v>26.11</v>
      </c>
      <c r="V101" s="9">
        <v>0.05</v>
      </c>
      <c r="W101" s="141"/>
      <c r="X101" s="9">
        <v>0.002</v>
      </c>
      <c r="Y101" s="9">
        <v>0.002145</v>
      </c>
      <c r="Z101" s="9">
        <v>1.443</v>
      </c>
      <c r="AA101" s="9">
        <v>0.1769</v>
      </c>
      <c r="AB101" s="75">
        <v>0.07976000000000001</v>
      </c>
      <c r="AD101" s="126">
        <v>0.1567</v>
      </c>
      <c r="AE101" s="78">
        <f t="shared" si="52"/>
        <v>0.2142857142857143</v>
      </c>
      <c r="AF101" s="78">
        <f t="shared" si="53"/>
        <v>0.10669090909090909</v>
      </c>
      <c r="AG101" s="78">
        <f t="shared" si="54"/>
        <v>5.316666666666666</v>
      </c>
      <c r="AH101" s="78">
        <f t="shared" si="55"/>
        <v>426.14285714285717</v>
      </c>
      <c r="AI101" s="78">
        <f t="shared" si="56"/>
        <v>0.7142857142857143</v>
      </c>
      <c r="AJ101" s="78">
        <f t="shared" si="57"/>
        <v>6.224285714285714</v>
      </c>
      <c r="AK101" s="78">
        <f t="shared" si="58"/>
        <v>0.4838709677419355</v>
      </c>
      <c r="AL101" s="78">
        <f t="shared" si="59"/>
        <v>9.235897435897437</v>
      </c>
      <c r="AM101" s="78">
        <f t="shared" si="60"/>
        <v>67.95</v>
      </c>
      <c r="AN101" s="78">
        <f t="shared" si="61"/>
        <v>36.825</v>
      </c>
      <c r="AO101" s="78">
        <f t="shared" si="62"/>
        <v>165.43478260869566</v>
      </c>
      <c r="AP101" s="78">
        <f t="shared" si="63"/>
        <v>39.03125</v>
      </c>
      <c r="AQ101" s="78">
        <f t="shared" si="64"/>
        <v>95.97142857142858</v>
      </c>
      <c r="AR101" s="68">
        <f t="shared" si="34"/>
        <v>0.21577444091526643</v>
      </c>
      <c r="AS101" s="78">
        <f t="shared" si="65"/>
        <v>4.838709677419355</v>
      </c>
      <c r="AT101" s="78"/>
      <c r="AU101" s="78">
        <f t="shared" si="66"/>
        <v>0.06349206349206349</v>
      </c>
      <c r="AV101" s="78">
        <f t="shared" si="67"/>
        <v>0.066</v>
      </c>
      <c r="AW101" s="97">
        <f t="shared" si="35"/>
        <v>12.635714285714286</v>
      </c>
      <c r="AX101" s="68">
        <f t="shared" si="36"/>
        <v>5.697142857142858</v>
      </c>
      <c r="AY101" s="68"/>
      <c r="AZ101" s="68">
        <f t="shared" si="37"/>
        <v>6.938571428571429</v>
      </c>
      <c r="BA101" s="103">
        <f t="shared" si="38"/>
        <v>280.15996575887885</v>
      </c>
      <c r="BB101" s="103">
        <f t="shared" si="39"/>
        <v>141.2269642857143</v>
      </c>
      <c r="BC101" s="27">
        <f t="shared" si="40"/>
        <v>32.97041070031811</v>
      </c>
      <c r="BD101" s="79">
        <f>(('[1]setup'!$B$13*'[1]setup'!$B$14*'[1]setup'!$B$15)/10^(-S101))*10^6</f>
        <v>54.95330331767399</v>
      </c>
      <c r="BE101" s="73">
        <f t="shared" si="41"/>
        <v>13.923969853682054</v>
      </c>
      <c r="BF101" s="74">
        <f t="shared" si="42"/>
        <v>138.9330014731645</v>
      </c>
      <c r="BG101" s="72">
        <f t="shared" si="43"/>
        <v>280.37574019979405</v>
      </c>
      <c r="BH101" s="72">
        <f t="shared" si="44"/>
        <v>210.10423745707035</v>
      </c>
      <c r="BI101" s="75">
        <f t="shared" si="45"/>
        <v>14.327088962617152</v>
      </c>
      <c r="BJ101" s="58"/>
      <c r="BK101" s="92">
        <f>(3*('[1]setup'!$D$19*(10^-S101)^3)+2*('[1]setup'!$D$20*'[1]setup'!$D$19*((10^-S101)^2))+('[1]setup'!$D$21*'[1]setup'!$D$19*10^-S101)+('[1]setup'!$D$19*'[1]setup'!$D$22*(AP101/(10^6*2))*(10^-S101)^3))*10^6</f>
        <v>0.00022234708897899997</v>
      </c>
      <c r="BL101" s="93">
        <f t="shared" si="46"/>
        <v>84.19569494349474</v>
      </c>
      <c r="BM101" s="74">
        <f>(BL101/((('[1]setup'!$C$26)/10^-S101)+2*(('[1]setup'!$C$26*'[1]setup'!$C$27)/(10^-S101^2))+3*(('[1]setup'!$C$26*'[1]setup'!$C$27*'[1]setup'!$C$28)/(10^-S101^3))))/(10^-S101^3/(10^-S101^3+'[1]setup'!$C$26*10^-S101^2+'[1]setup'!$C$26*'[1]setup'!$C$27*10^-S101+'[1]setup'!$C$26*'[1]setup'!$C$27*'[1]setup'!$C$28))</f>
        <v>32.233084611569765</v>
      </c>
      <c r="BN101" s="74"/>
      <c r="BO101" s="123">
        <f t="shared" si="47"/>
        <v>280.1599657588788</v>
      </c>
      <c r="BP101" s="123">
        <f t="shared" si="48"/>
        <v>141.2269642857143</v>
      </c>
      <c r="BQ101" s="123">
        <f t="shared" si="49"/>
        <v>1.983756906309273</v>
      </c>
      <c r="BR101" s="123">
        <f t="shared" si="50"/>
        <v>138.21871575887883</v>
      </c>
      <c r="BS101" s="123">
        <f t="shared" si="51"/>
        <v>1.7237920188461886</v>
      </c>
    </row>
    <row r="102" spans="1:71" ht="12.75">
      <c r="A102" s="102">
        <v>40575</v>
      </c>
      <c r="B102" s="16">
        <v>13.2</v>
      </c>
      <c r="C102" s="1" t="s">
        <v>85</v>
      </c>
      <c r="D102" s="111">
        <v>1053128</v>
      </c>
      <c r="F102" s="1">
        <v>0.006</v>
      </c>
      <c r="G102" s="9">
        <v>0.002798</v>
      </c>
      <c r="H102" s="9">
        <v>0.1224</v>
      </c>
      <c r="I102" s="9">
        <v>1.746</v>
      </c>
      <c r="J102" s="130">
        <v>0.01</v>
      </c>
      <c r="K102" s="141">
        <v>0.0334</v>
      </c>
      <c r="L102" s="130">
        <v>0.005</v>
      </c>
      <c r="M102" s="9">
        <v>0.2715</v>
      </c>
      <c r="N102" s="9">
        <v>0.8514</v>
      </c>
      <c r="O102" s="9">
        <v>0.2817</v>
      </c>
      <c r="P102" s="9">
        <v>2.455</v>
      </c>
      <c r="Q102" s="141">
        <v>0.4943</v>
      </c>
      <c r="R102" s="141">
        <v>2.879</v>
      </c>
      <c r="S102" s="9">
        <v>6.351</v>
      </c>
      <c r="T102" s="9">
        <v>16.9</v>
      </c>
      <c r="U102" s="9">
        <v>22.67</v>
      </c>
      <c r="V102" s="9">
        <v>0.05</v>
      </c>
      <c r="W102" s="168"/>
      <c r="X102" s="9">
        <v>0.002</v>
      </c>
      <c r="Y102" s="9">
        <v>0.002</v>
      </c>
      <c r="Z102" s="175">
        <v>4.246</v>
      </c>
      <c r="AA102" s="9">
        <v>0.1669</v>
      </c>
      <c r="AB102" s="75">
        <v>0.1235</v>
      </c>
      <c r="AD102" s="126">
        <v>0.1419</v>
      </c>
      <c r="AE102" s="78">
        <f t="shared" si="52"/>
        <v>0.2142857142857143</v>
      </c>
      <c r="AF102" s="78">
        <f t="shared" si="53"/>
        <v>0.10174545454545454</v>
      </c>
      <c r="AG102" s="78">
        <f t="shared" si="54"/>
        <v>13.599999999999998</v>
      </c>
      <c r="AH102" s="78">
        <f t="shared" si="55"/>
        <v>249.42857142857142</v>
      </c>
      <c r="AI102" s="78">
        <f t="shared" si="56"/>
        <v>0.7142857142857143</v>
      </c>
      <c r="AJ102" s="78">
        <f t="shared" si="57"/>
        <v>2.3857142857142857</v>
      </c>
      <c r="AK102" s="78">
        <f t="shared" si="58"/>
        <v>0.4838709677419355</v>
      </c>
      <c r="AL102" s="78">
        <f t="shared" si="59"/>
        <v>6.961538461538462</v>
      </c>
      <c r="AM102" s="78">
        <f t="shared" si="60"/>
        <v>42.57</v>
      </c>
      <c r="AN102" s="78">
        <f t="shared" si="61"/>
        <v>23.474999999999998</v>
      </c>
      <c r="AO102" s="78">
        <f t="shared" si="62"/>
        <v>106.73913043478261</v>
      </c>
      <c r="AP102" s="78">
        <f t="shared" si="63"/>
        <v>30.89375</v>
      </c>
      <c r="AQ102" s="78">
        <f t="shared" si="64"/>
        <v>82.25714285714287</v>
      </c>
      <c r="AR102" s="68">
        <f t="shared" si="34"/>
        <v>0.4456562483975033</v>
      </c>
      <c r="AS102" s="78">
        <f t="shared" si="65"/>
        <v>4.838709677419355</v>
      </c>
      <c r="AT102" s="78"/>
      <c r="AU102" s="78">
        <f t="shared" si="66"/>
        <v>0.06349206349206349</v>
      </c>
      <c r="AV102" s="78">
        <f t="shared" si="67"/>
        <v>0.061538461538461535</v>
      </c>
      <c r="AW102" s="97">
        <f t="shared" si="35"/>
        <v>11.92142857142857</v>
      </c>
      <c r="AX102" s="68">
        <f t="shared" si="36"/>
        <v>8.821428571428573</v>
      </c>
      <c r="AY102" s="68"/>
      <c r="AZ102" s="68">
        <f t="shared" si="37"/>
        <v>3.1</v>
      </c>
      <c r="BA102" s="103">
        <f t="shared" si="38"/>
        <v>180.4599546106068</v>
      </c>
      <c r="BB102" s="103">
        <f t="shared" si="39"/>
        <v>115.53660714285715</v>
      </c>
      <c r="BC102" s="27">
        <f t="shared" si="40"/>
        <v>21.933818110301026</v>
      </c>
      <c r="BD102" s="79">
        <f>(('[1]setup'!$B$13*'[1]setup'!$B$14*'[1]setup'!$B$15)/10^(-S102))*10^6</f>
        <v>26.606870973885343</v>
      </c>
      <c r="BE102" s="73">
        <f t="shared" si="41"/>
        <v>40.1903991749253</v>
      </c>
      <c r="BF102" s="74">
        <f t="shared" si="42"/>
        <v>64.92334746774964</v>
      </c>
      <c r="BG102" s="72">
        <f t="shared" si="43"/>
        <v>180.9056108590043</v>
      </c>
      <c r="BH102" s="72">
        <f t="shared" si="44"/>
        <v>182.3338772916678</v>
      </c>
      <c r="BI102" s="75">
        <f t="shared" si="45"/>
        <v>0.39320241307879095</v>
      </c>
      <c r="BJ102" s="58"/>
      <c r="BK102" s="92">
        <f>(3*('[1]setup'!$D$19*(10^-S102)^3)+2*('[1]setup'!$D$20*'[1]setup'!$D$19*((10^-S102)^2))+('[1]setup'!$D$21*'[1]setup'!$D$19*10^-S102)+('[1]setup'!$D$19*'[1]setup'!$D$22*(AP102/(10^6*2))*(10^-S102)^3))*10^6</f>
        <v>0.0005457348163262098</v>
      </c>
      <c r="BL102" s="93">
        <f t="shared" si="46"/>
        <v>38.76267847707811</v>
      </c>
      <c r="BM102" s="74">
        <f>(BL102/((('[1]setup'!$C$26)/10^-S102)+2*(('[1]setup'!$C$26*'[1]setup'!$C$27)/(10^-S102^2))+3*(('[1]setup'!$C$26*'[1]setup'!$C$27*'[1]setup'!$C$28)/(10^-S102^3))))/(10^-S102^3/(10^-S102^3+'[1]setup'!$C$26*10^-S102^2+'[1]setup'!$C$26*'[1]setup'!$C$27*10^-S102+'[1]setup'!$C$26*'[1]setup'!$C$27*'[1]setup'!$C$28))</f>
        <v>15.977979214802634</v>
      </c>
      <c r="BN102" s="74"/>
      <c r="BO102" s="123">
        <f t="shared" si="47"/>
        <v>180.4599546106068</v>
      </c>
      <c r="BP102" s="123">
        <f t="shared" si="48"/>
        <v>115.53660714285715</v>
      </c>
      <c r="BQ102" s="123">
        <f t="shared" si="49"/>
        <v>1.5619288039804915</v>
      </c>
      <c r="BR102" s="123">
        <f t="shared" si="50"/>
        <v>64.20906175346391</v>
      </c>
      <c r="BS102" s="123">
        <f t="shared" si="51"/>
        <v>1.297627497470438</v>
      </c>
    </row>
    <row r="103" spans="1:71" ht="12.75">
      <c r="A103" s="102">
        <v>40597</v>
      </c>
      <c r="B103" s="16">
        <v>13.35</v>
      </c>
      <c r="C103" s="1" t="s">
        <v>85</v>
      </c>
      <c r="D103" s="111">
        <v>1055236</v>
      </c>
      <c r="F103" s="1">
        <v>0.006</v>
      </c>
      <c r="G103" s="9">
        <v>0.002679</v>
      </c>
      <c r="H103" s="9">
        <v>0.1329</v>
      </c>
      <c r="I103" s="9">
        <v>1.401</v>
      </c>
      <c r="J103" s="130">
        <v>0.01</v>
      </c>
      <c r="K103" s="141">
        <v>0.025205</v>
      </c>
      <c r="L103" s="130">
        <v>0.006</v>
      </c>
      <c r="M103" s="9">
        <v>0.3276</v>
      </c>
      <c r="N103" s="9">
        <v>0.7442</v>
      </c>
      <c r="O103" s="9">
        <v>0.2992</v>
      </c>
      <c r="P103" s="9">
        <v>2.254</v>
      </c>
      <c r="Q103" s="141">
        <v>0.5293</v>
      </c>
      <c r="R103" s="141">
        <v>3.483</v>
      </c>
      <c r="S103" s="9">
        <v>5.626</v>
      </c>
      <c r="T103" s="9">
        <v>17.5</v>
      </c>
      <c r="U103" s="9">
        <v>22.87</v>
      </c>
      <c r="V103" s="9">
        <v>0.05</v>
      </c>
      <c r="W103" s="168"/>
      <c r="X103" s="9">
        <v>0.002</v>
      </c>
      <c r="Y103" s="9">
        <v>0.002972</v>
      </c>
      <c r="Z103" s="9">
        <v>5.427</v>
      </c>
      <c r="AA103" s="9">
        <v>0.1367</v>
      </c>
      <c r="AB103" s="75">
        <v>0.10149499999999999</v>
      </c>
      <c r="AD103" s="126">
        <v>0.09715</v>
      </c>
      <c r="AE103" s="78">
        <f t="shared" si="52"/>
        <v>0.2142857142857143</v>
      </c>
      <c r="AF103" s="78">
        <f t="shared" si="53"/>
        <v>0.09741818181818182</v>
      </c>
      <c r="AG103" s="78">
        <f t="shared" si="54"/>
        <v>14.766666666666666</v>
      </c>
      <c r="AH103" s="78">
        <f t="shared" si="55"/>
        <v>200.14285714285714</v>
      </c>
      <c r="AI103" s="78">
        <f t="shared" si="56"/>
        <v>0.7142857142857143</v>
      </c>
      <c r="AJ103" s="78">
        <f t="shared" si="57"/>
        <v>1.800357142857143</v>
      </c>
      <c r="AK103" s="78">
        <f t="shared" si="58"/>
        <v>0.5806451612903225</v>
      </c>
      <c r="AL103" s="78">
        <f t="shared" si="59"/>
        <v>8.4</v>
      </c>
      <c r="AM103" s="78">
        <f t="shared" si="60"/>
        <v>37.21</v>
      </c>
      <c r="AN103" s="78">
        <f t="shared" si="61"/>
        <v>24.933333333333334</v>
      </c>
      <c r="AO103" s="78">
        <f t="shared" si="62"/>
        <v>98</v>
      </c>
      <c r="AP103" s="78">
        <f t="shared" si="63"/>
        <v>33.08125</v>
      </c>
      <c r="AQ103" s="78">
        <f t="shared" si="64"/>
        <v>99.51428571428572</v>
      </c>
      <c r="AR103" s="68">
        <f t="shared" si="34"/>
        <v>2.3659196974857566</v>
      </c>
      <c r="AS103" s="78">
        <f t="shared" si="65"/>
        <v>4.838709677419355</v>
      </c>
      <c r="AT103" s="78"/>
      <c r="AU103" s="78">
        <f t="shared" si="66"/>
        <v>0.06349206349206349</v>
      </c>
      <c r="AV103" s="78">
        <f t="shared" si="67"/>
        <v>0.09144615384615384</v>
      </c>
      <c r="AW103" s="97">
        <f t="shared" si="35"/>
        <v>9.764285714285712</v>
      </c>
      <c r="AX103" s="68">
        <f t="shared" si="36"/>
        <v>7.249642857142857</v>
      </c>
      <c r="AY103" s="68"/>
      <c r="AZ103" s="68">
        <f t="shared" si="37"/>
        <v>2.5146428571428574</v>
      </c>
      <c r="BA103" s="103">
        <f t="shared" si="38"/>
        <v>169.25761904761907</v>
      </c>
      <c r="BB103" s="103">
        <f t="shared" si="39"/>
        <v>134.39589285714285</v>
      </c>
      <c r="BC103" s="27">
        <f t="shared" si="40"/>
        <v>11.480758438061562</v>
      </c>
      <c r="BD103" s="79">
        <f>(('[1]setup'!$B$13*'[1]setup'!$B$14*'[1]setup'!$B$15)/10^(-S103))*10^6</f>
        <v>5.011800828413172</v>
      </c>
      <c r="BE103" s="73">
        <f t="shared" si="41"/>
        <v>47.3751138048277</v>
      </c>
      <c r="BF103" s="74">
        <f t="shared" si="42"/>
        <v>34.86172619047619</v>
      </c>
      <c r="BG103" s="72">
        <f t="shared" si="43"/>
        <v>171.6235387451048</v>
      </c>
      <c r="BH103" s="72">
        <f t="shared" si="44"/>
        <v>186.78280749038373</v>
      </c>
      <c r="BI103" s="75">
        <f t="shared" si="45"/>
        <v>4.229631786519379</v>
      </c>
      <c r="BJ103" s="58"/>
      <c r="BK103" s="92">
        <f>(3*('[1]setup'!$D$19*(10^-S103)^3)+2*('[1]setup'!$D$20*'[1]setup'!$D$19*((10^-S103)^2))+('[1]setup'!$D$21*'[1]setup'!$D$19*10^-S103)+('[1]setup'!$D$19*'[1]setup'!$D$22*(AP103/(10^6*2))*(10^-S103)^3))*10^6</f>
        <v>0.009677926296371858</v>
      </c>
      <c r="BL103" s="93">
        <f t="shared" si="46"/>
        <v>32.225522985845174</v>
      </c>
      <c r="BM103" s="74">
        <f>(BL103/((('[1]setup'!$C$26)/10^-S103)+2*(('[1]setup'!$C$26*'[1]setup'!$C$27)/(10^-S103^2))+3*(('[1]setup'!$C$26*'[1]setup'!$C$27*'[1]setup'!$C$28)/(10^-S103^3))))/(10^-S103^3/(10^-S103^3+'[1]setup'!$C$26*10^-S103^2+'[1]setup'!$C$26*'[1]setup'!$C$27*10^-S103+'[1]setup'!$C$26*'[1]setup'!$C$27*'[1]setup'!$C$28))</f>
        <v>15.667087964429578</v>
      </c>
      <c r="BN103" s="74"/>
      <c r="BO103" s="123">
        <f t="shared" si="47"/>
        <v>169.25761904761904</v>
      </c>
      <c r="BP103" s="123">
        <f t="shared" si="48"/>
        <v>134.39589285714285</v>
      </c>
      <c r="BQ103" s="123">
        <f t="shared" si="49"/>
        <v>1.2593957705800782</v>
      </c>
      <c r="BR103" s="123">
        <f t="shared" si="50"/>
        <v>34.147440476190496</v>
      </c>
      <c r="BS103" s="123">
        <f t="shared" si="51"/>
        <v>0.9847832328452483</v>
      </c>
    </row>
    <row r="104" spans="1:71" ht="12.75">
      <c r="A104" s="102">
        <v>40618</v>
      </c>
      <c r="B104" s="16">
        <v>15</v>
      </c>
      <c r="C104" s="1" t="s">
        <v>85</v>
      </c>
      <c r="D104" s="1">
        <v>1057712</v>
      </c>
      <c r="F104" s="1">
        <v>0.006</v>
      </c>
      <c r="G104" s="9">
        <v>0.002955</v>
      </c>
      <c r="H104" s="9">
        <v>0.02826</v>
      </c>
      <c r="I104" s="9">
        <v>1.903</v>
      </c>
      <c r="J104" s="130">
        <v>0.01</v>
      </c>
      <c r="K104" s="141">
        <v>0.06866</v>
      </c>
      <c r="L104" s="130">
        <v>0.005</v>
      </c>
      <c r="M104" s="9">
        <v>0.2389</v>
      </c>
      <c r="N104" s="9">
        <v>0.9563</v>
      </c>
      <c r="O104" s="9">
        <v>0.3229</v>
      </c>
      <c r="P104" s="9">
        <v>2.741</v>
      </c>
      <c r="Q104" s="141">
        <v>0.6113</v>
      </c>
      <c r="R104" s="141">
        <v>3.558</v>
      </c>
      <c r="S104" s="9">
        <v>6.418</v>
      </c>
      <c r="T104" s="9">
        <v>14.1</v>
      </c>
      <c r="U104" s="9">
        <v>28.34</v>
      </c>
      <c r="V104" s="9">
        <v>0.05</v>
      </c>
      <c r="W104" s="168"/>
      <c r="X104" s="9">
        <v>0.002</v>
      </c>
      <c r="Y104" s="9">
        <v>0.002</v>
      </c>
      <c r="Z104" s="9">
        <v>1.615</v>
      </c>
      <c r="AA104" s="9">
        <v>0.1247</v>
      </c>
      <c r="AB104" s="75">
        <v>0.04604000000000001</v>
      </c>
      <c r="AD104" s="126">
        <v>0.1709</v>
      </c>
      <c r="AE104" s="78">
        <f t="shared" si="52"/>
        <v>0.2142857142857143</v>
      </c>
      <c r="AF104" s="78">
        <f t="shared" si="53"/>
        <v>0.10745454545454546</v>
      </c>
      <c r="AG104" s="78">
        <f t="shared" si="54"/>
        <v>3.14</v>
      </c>
      <c r="AH104" s="78">
        <f t="shared" si="55"/>
        <v>271.85714285714283</v>
      </c>
      <c r="AI104" s="78">
        <f t="shared" si="56"/>
        <v>0.7142857142857143</v>
      </c>
      <c r="AJ104" s="78">
        <f t="shared" si="57"/>
        <v>4.904285714285714</v>
      </c>
      <c r="AK104" s="78">
        <f t="shared" si="58"/>
        <v>0.4838709677419355</v>
      </c>
      <c r="AL104" s="78">
        <f t="shared" si="59"/>
        <v>6.125641025641026</v>
      </c>
      <c r="AM104" s="78">
        <f t="shared" si="60"/>
        <v>47.815000000000005</v>
      </c>
      <c r="AN104" s="78">
        <f t="shared" si="61"/>
        <v>26.908333333333335</v>
      </c>
      <c r="AO104" s="78">
        <f t="shared" si="62"/>
        <v>119.17391304347827</v>
      </c>
      <c r="AP104" s="78">
        <f t="shared" si="63"/>
        <v>38.20625</v>
      </c>
      <c r="AQ104" s="78">
        <f t="shared" si="64"/>
        <v>101.65714285714284</v>
      </c>
      <c r="AR104" s="68">
        <f t="shared" si="34"/>
        <v>0.3819442708400464</v>
      </c>
      <c r="AS104" s="78">
        <f t="shared" si="65"/>
        <v>4.838709677419355</v>
      </c>
      <c r="AT104" s="78"/>
      <c r="AU104" s="78">
        <f t="shared" si="66"/>
        <v>0.06349206349206349</v>
      </c>
      <c r="AV104" s="78">
        <f t="shared" si="67"/>
        <v>0.061538461538461535</v>
      </c>
      <c r="AW104" s="97">
        <f t="shared" si="35"/>
        <v>8.907142857142858</v>
      </c>
      <c r="AX104" s="68">
        <f t="shared" si="36"/>
        <v>3.288571428571429</v>
      </c>
      <c r="AY104" s="68"/>
      <c r="AZ104" s="68">
        <f t="shared" si="37"/>
        <v>5.618571428571428</v>
      </c>
      <c r="BA104" s="103">
        <f t="shared" si="38"/>
        <v>200.73717311673835</v>
      </c>
      <c r="BB104" s="103">
        <f t="shared" si="39"/>
        <v>144.76767857142855</v>
      </c>
      <c r="BC104" s="27">
        <f t="shared" si="40"/>
        <v>16.19933678842365</v>
      </c>
      <c r="BD104" s="79">
        <f>(('[1]setup'!$B$13*'[1]setup'!$B$14*'[1]setup'!$B$15)/10^(-S104))*10^6</f>
        <v>31.045152932229563</v>
      </c>
      <c r="BE104" s="73">
        <f t="shared" si="41"/>
        <v>15.359089683749037</v>
      </c>
      <c r="BF104" s="74">
        <f t="shared" si="42"/>
        <v>55.96949454530977</v>
      </c>
      <c r="BG104" s="72">
        <f t="shared" si="43"/>
        <v>201.1191173875784</v>
      </c>
      <c r="BH104" s="72">
        <f t="shared" si="44"/>
        <v>191.17192118740718</v>
      </c>
      <c r="BI104" s="75">
        <f t="shared" si="45"/>
        <v>2.535667456566137</v>
      </c>
      <c r="BJ104" s="58"/>
      <c r="BK104" s="92">
        <f>(3*('[1]setup'!$D$19*(10^-S104)^3)+2*('[1]setup'!$D$20*'[1]setup'!$D$19*((10^-S104)^2))+('[1]setup'!$D$21*'[1]setup'!$D$19*10^-S104)+('[1]setup'!$D$19*'[1]setup'!$D$22*(AP104/(10^6*2))*(10^-S104)^3))*10^6</f>
        <v>0.00044596527037341055</v>
      </c>
      <c r="BL104" s="93">
        <f t="shared" si="46"/>
        <v>25.30673184919064</v>
      </c>
      <c r="BM104" s="74">
        <f>(BL104/((('[1]setup'!$C$26)/10^-S104)+2*(('[1]setup'!$C$26*'[1]setup'!$C$27)/(10^-S104^2))+3*(('[1]setup'!$C$26*'[1]setup'!$C$27*'[1]setup'!$C$28)/(10^-S104^3))))/(10^-S104^3/(10^-S104^3+'[1]setup'!$C$26*10^-S104^2+'[1]setup'!$C$26*'[1]setup'!$C$27*10^-S104+'[1]setup'!$C$26*'[1]setup'!$C$27*'[1]setup'!$C$28))</f>
        <v>10.260863068967318</v>
      </c>
      <c r="BN104" s="74"/>
      <c r="BO104" s="123">
        <f t="shared" si="47"/>
        <v>200.73717311673835</v>
      </c>
      <c r="BP104" s="123">
        <f t="shared" si="48"/>
        <v>144.76767857142855</v>
      </c>
      <c r="BQ104" s="123">
        <f t="shared" si="49"/>
        <v>1.3866159566666973</v>
      </c>
      <c r="BR104" s="123">
        <f t="shared" si="50"/>
        <v>55.25520883102408</v>
      </c>
      <c r="BS104" s="123">
        <f t="shared" si="51"/>
        <v>1.1723122418554637</v>
      </c>
    </row>
    <row r="105" spans="1:71" ht="12.75">
      <c r="A105" s="134">
        <v>40631</v>
      </c>
      <c r="B105" s="135">
        <v>16</v>
      </c>
      <c r="C105" s="136" t="s">
        <v>85</v>
      </c>
      <c r="D105" s="137">
        <v>1059809</v>
      </c>
      <c r="E105" s="138"/>
      <c r="F105" s="136">
        <v>0.006</v>
      </c>
      <c r="G105" s="148">
        <v>0.002</v>
      </c>
      <c r="H105" s="148">
        <v>0.05624</v>
      </c>
      <c r="I105" s="148">
        <v>1.362</v>
      </c>
      <c r="J105" s="177">
        <v>0.022</v>
      </c>
      <c r="K105" s="144">
        <v>0.0404</v>
      </c>
      <c r="L105" s="177">
        <v>0.005</v>
      </c>
      <c r="M105" s="148">
        <v>0.2549</v>
      </c>
      <c r="N105" s="148">
        <v>0.9194</v>
      </c>
      <c r="O105" s="148">
        <v>0.3205</v>
      </c>
      <c r="P105" s="148">
        <v>3.121</v>
      </c>
      <c r="Q105" s="144">
        <v>0.54</v>
      </c>
      <c r="R105" s="144">
        <v>3.961</v>
      </c>
      <c r="S105" s="148">
        <v>6.297</v>
      </c>
      <c r="T105" s="148">
        <v>17.9</v>
      </c>
      <c r="U105" s="148">
        <v>25.71</v>
      </c>
      <c r="V105" s="148">
        <v>0.05</v>
      </c>
      <c r="W105" s="178"/>
      <c r="X105" s="148">
        <v>0.002</v>
      </c>
      <c r="Y105" s="148">
        <v>0.00239</v>
      </c>
      <c r="Z105" s="148">
        <v>2.377</v>
      </c>
      <c r="AA105" s="148">
        <v>0.1606</v>
      </c>
      <c r="AB105" s="149">
        <v>0.0982</v>
      </c>
      <c r="AC105" s="138"/>
      <c r="AD105" s="139">
        <v>0.1963</v>
      </c>
      <c r="AE105" s="150">
        <f t="shared" si="52"/>
        <v>0.2142857142857143</v>
      </c>
      <c r="AF105" s="150">
        <f t="shared" si="53"/>
        <v>0.07272727272727272</v>
      </c>
      <c r="AG105" s="150">
        <f t="shared" si="54"/>
        <v>6.248888888888889</v>
      </c>
      <c r="AH105" s="150">
        <f t="shared" si="55"/>
        <v>194.57142857142858</v>
      </c>
      <c r="AI105" s="150">
        <f t="shared" si="56"/>
        <v>1.5714285714285712</v>
      </c>
      <c r="AJ105" s="150">
        <f t="shared" si="57"/>
        <v>2.8857142857142857</v>
      </c>
      <c r="AK105" s="150">
        <f t="shared" si="58"/>
        <v>0.4838709677419355</v>
      </c>
      <c r="AL105" s="150">
        <f t="shared" si="59"/>
        <v>6.535897435897436</v>
      </c>
      <c r="AM105" s="150">
        <f t="shared" si="60"/>
        <v>45.97</v>
      </c>
      <c r="AN105" s="150">
        <f t="shared" si="61"/>
        <v>26.708333333333336</v>
      </c>
      <c r="AO105" s="150">
        <f t="shared" si="62"/>
        <v>135.69565217391306</v>
      </c>
      <c r="AP105" s="150">
        <f t="shared" si="63"/>
        <v>33.75</v>
      </c>
      <c r="AQ105" s="150">
        <f t="shared" si="64"/>
        <v>113.17142857142856</v>
      </c>
      <c r="AR105" s="151">
        <f t="shared" si="34"/>
        <v>0.5046612975635286</v>
      </c>
      <c r="AS105" s="150">
        <f t="shared" si="65"/>
        <v>4.838709677419355</v>
      </c>
      <c r="AT105" s="150"/>
      <c r="AU105" s="150">
        <f t="shared" si="66"/>
        <v>0.06349206349206349</v>
      </c>
      <c r="AV105" s="150">
        <f t="shared" si="67"/>
        <v>0.07353846153846154</v>
      </c>
      <c r="AW105" s="152">
        <f t="shared" si="35"/>
        <v>11.471428571428572</v>
      </c>
      <c r="AX105" s="151">
        <f t="shared" si="36"/>
        <v>7.014285714285714</v>
      </c>
      <c r="AY105" s="151"/>
      <c r="AZ105" s="151">
        <f t="shared" si="37"/>
        <v>4.457142857142857</v>
      </c>
      <c r="BA105" s="153">
        <f t="shared" si="38"/>
        <v>216.4813115145724</v>
      </c>
      <c r="BB105" s="153">
        <f t="shared" si="39"/>
        <v>149.80714285714285</v>
      </c>
      <c r="BC105" s="154">
        <f t="shared" si="40"/>
        <v>18.202639985416404</v>
      </c>
      <c r="BD105" s="155">
        <f>(('[1]setup'!$B$13*'[1]setup'!$B$14*'[1]setup'!$B$15)/10^(-S105))*10^6</f>
        <v>23.495992970068162</v>
      </c>
      <c r="BE105" s="156">
        <f t="shared" si="41"/>
        <v>22.407734378713037</v>
      </c>
      <c r="BF105" s="157">
        <f t="shared" si="42"/>
        <v>66.67416865742956</v>
      </c>
      <c r="BG105" s="158">
        <f t="shared" si="43"/>
        <v>216.98597281213594</v>
      </c>
      <c r="BH105" s="158">
        <f t="shared" si="44"/>
        <v>195.71087020592404</v>
      </c>
      <c r="BI105" s="149">
        <f t="shared" si="45"/>
        <v>5.155140623472345</v>
      </c>
      <c r="BJ105" s="159"/>
      <c r="BK105" s="160">
        <f>(3*('[1]setup'!$D$19*(10^-S105)^3)+2*('[1]setup'!$D$20*'[1]setup'!$D$19*((10^-S105)^2))+('[1]setup'!$D$21*'[1]setup'!$D$19*10^-S105)+('[1]setup'!$D$19*'[1]setup'!$D$22*(AP105/(10^6*2))*(10^-S105)^3))*10^6</f>
        <v>0.0006457424130456681</v>
      </c>
      <c r="BL105" s="161">
        <f t="shared" si="46"/>
        <v>43.683482727337974</v>
      </c>
      <c r="BM105" s="157">
        <f>(BL105/((('[1]setup'!$C$26)/10^-S105)+2*(('[1]setup'!$C$26*'[1]setup'!$C$27)/(10^-S105^2))+3*(('[1]setup'!$C$26*'[1]setup'!$C$27*'[1]setup'!$C$28)/(10^-S105^3))))/(10^-S105^3/(10^-S105^3+'[1]setup'!$C$26*10^-S105^2+'[1]setup'!$C$26*'[1]setup'!$C$27*10^-S105+'[1]setup'!$C$26*'[1]setup'!$C$27*'[1]setup'!$C$28))</f>
        <v>18.248961308719476</v>
      </c>
      <c r="BN105" s="157"/>
      <c r="BO105" s="162">
        <f t="shared" si="47"/>
        <v>216.4813115145724</v>
      </c>
      <c r="BP105" s="162">
        <f t="shared" si="48"/>
        <v>149.80714285714285</v>
      </c>
      <c r="BQ105" s="162">
        <f t="shared" si="49"/>
        <v>1.4450666863128852</v>
      </c>
      <c r="BR105" s="162">
        <f t="shared" si="50"/>
        <v>65.10274008600098</v>
      </c>
      <c r="BS105" s="162">
        <f t="shared" si="51"/>
        <v>1.1990274743971112</v>
      </c>
    </row>
    <row r="106" spans="1:28" s="140" customFormat="1" ht="12.75">
      <c r="A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</sheetData>
  <sheetProtection/>
  <dataValidations count="1">
    <dataValidation operator="greaterThanOrEqual" allowBlank="1" showInputMessage="1" showErrorMessage="1" sqref="V82 F82:G82 T84:U85 O82:P82 S61:U61 M82 S78:U79 S65:S68 E65 M37:M39 O37:O38 S37:U37 F34 F37:F39 O34:P34 M34 W51 S42:U43 G45 L6 J6 W53 S55:T55 D49:E50 F47 N47 X47 O45 M45 S46:T46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4" sqref="P34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6:D7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32" sqref="R32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2" sqref="M42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2" sqref="L42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2" sqref="L42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5" sqref="R35"/>
    </sheetView>
  </sheetViews>
  <sheetFormatPr defaultColWidth="9.140625" defaultRowHeight="12.75"/>
  <cols>
    <col min="1" max="16384" width="9.140625" style="12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D. Miller</dc:creator>
  <cp:keywords/>
  <dc:description/>
  <cp:lastModifiedBy>Sheila Gibbs</cp:lastModifiedBy>
  <cp:lastPrinted>2008-07-25T15:44:27Z</cp:lastPrinted>
  <dcterms:created xsi:type="dcterms:W3CDTF">2007-01-12T09:38:48Z</dcterms:created>
  <dcterms:modified xsi:type="dcterms:W3CDTF">2012-02-03T11:37:14Z</dcterms:modified>
  <cp:category/>
  <cp:version/>
  <cp:contentType/>
  <cp:contentStatus/>
</cp:coreProperties>
</file>