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9465" windowHeight="6720" firstSheet="1" activeTab="11"/>
  </bookViews>
  <sheets>
    <sheet name="Stream gauge 6 data" sheetId="1" state="hidden" r:id="rId1"/>
    <sheet name="Al" sheetId="2" r:id="rId2"/>
    <sheet name="Alkalinity" sheetId="3" r:id="rId3"/>
    <sheet name="Ca" sheetId="4" r:id="rId4"/>
    <sheet name="Cation to Anion ratio" sheetId="5" r:id="rId5"/>
    <sheet name="Cl" sheetId="6" r:id="rId6"/>
    <sheet name="Conductivity" sheetId="7" r:id="rId7"/>
    <sheet name="Cu" sheetId="8" r:id="rId8"/>
    <sheet name="DOC" sheetId="9" r:id="rId9"/>
    <sheet name="Fe" sheetId="10" r:id="rId10"/>
    <sheet name="Inorganic N" sheetId="11" r:id="rId11"/>
    <sheet name="H" sheetId="12" r:id="rId12"/>
    <sheet name="K" sheetId="13" r:id="rId13"/>
    <sheet name="Mg" sheetId="14" r:id="rId14"/>
    <sheet name="Mn" sheetId="15" r:id="rId15"/>
    <sheet name="Na" sheetId="16" r:id="rId16"/>
    <sheet name="Na to Cl Ratio" sheetId="17" r:id="rId17"/>
    <sheet name="NH4-N" sheetId="18" r:id="rId18"/>
    <sheet name="NO3-N" sheetId="19" r:id="rId19"/>
    <sheet name="pH" sheetId="20" r:id="rId20"/>
    <sheet name="P" sheetId="21" r:id="rId21"/>
    <sheet name="PO4-P" sheetId="22" r:id="rId22"/>
    <sheet name="S" sheetId="23" r:id="rId23"/>
    <sheet name="Si" sheetId="24" r:id="rId24"/>
    <sheet name="SO4-S" sheetId="25" r:id="rId25"/>
    <sheet name="Total Anions" sheetId="26" r:id="rId26"/>
    <sheet name="Total Cations" sheetId="27" r:id="rId27"/>
    <sheet name="Zn" sheetId="28" r:id="rId28"/>
  </sheets>
  <externalReferences>
    <externalReference r:id="rId31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comments1.xml><?xml version="1.0" encoding="utf-8"?>
<comments xmlns="http://schemas.openxmlformats.org/spreadsheetml/2006/main">
  <authors>
    <author> </author>
    <author>Macaulay Institute</author>
    <author>Sheila Gibbs</author>
  </authors>
  <commentList>
    <comment ref="U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High conductivity for blanks for following dates:-27th March'07, 10th April'07,24th April'07</t>
        </r>
      </text>
    </comment>
    <comment ref="AA4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TN analysis carried out on all stream samples from 19th/20th Sept'06</t>
        </r>
      </text>
    </comment>
    <comment ref="BA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SUM AA is missing then SUM BC has been deleted</t>
        </r>
      </text>
    </comment>
    <comment ref="BB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SUM BC missing then SUM AA has been deleted</t>
        </r>
      </text>
    </comment>
    <comment ref="BG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anions missing then cations have been deleted</t>
        </r>
      </text>
    </comment>
    <comment ref="BH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cations missing then anions have been deleted</t>
        </r>
      </text>
    </comment>
    <comment ref="L10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0.092</t>
        </r>
      </text>
    </comment>
    <comment ref="AK10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8.8645</t>
        </r>
      </text>
    </comment>
    <comment ref="V12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0.06</t>
        </r>
      </text>
    </comment>
    <comment ref="AS12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5.6032</t>
        </r>
      </text>
    </comment>
    <comment ref="U22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153.533</t>
        </r>
      </text>
    </comment>
    <comment ref="C30" authorId="1">
      <text>
        <r>
          <rPr>
            <sz val="10"/>
            <rFont val="Tahoma"/>
            <family val="2"/>
          </rPr>
          <t>Lower Allt Geal-Charn. Sample just upstream from large bushy Pine. (marked by cane)</t>
        </r>
        <r>
          <rPr>
            <sz val="10"/>
            <rFont val="Tahoma"/>
            <family val="2"/>
          </rPr>
          <t xml:space="preserve">
</t>
        </r>
      </text>
    </comment>
    <comment ref="J42" authorId="1">
      <text>
        <r>
          <rPr>
            <b/>
            <sz val="10"/>
            <rFont val="Tahoma"/>
            <family val="2"/>
          </rPr>
          <t>not UKAS accredited</t>
        </r>
        <r>
          <rPr>
            <sz val="10"/>
            <rFont val="Tahoma"/>
            <family val="2"/>
          </rPr>
          <t xml:space="preserve">
</t>
        </r>
      </text>
    </comment>
    <comment ref="J4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Not UKAS accredited</t>
        </r>
      </text>
    </comment>
    <comment ref="AA45" authorId="1">
      <text>
        <r>
          <rPr>
            <b/>
            <sz val="8"/>
            <rFont val="Tahoma"/>
            <family val="2"/>
          </rPr>
          <t>Sheila Gibbs:TN now being analysed on all stream samples.</t>
        </r>
        <r>
          <rPr>
            <sz val="8"/>
            <rFont val="Tahoma"/>
            <family val="2"/>
          </rPr>
          <t xml:space="preserve">
</t>
        </r>
      </text>
    </comment>
    <comment ref="C46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Lower detection limits for ICP elements as new method(DO51) now being used. New det limits on individual worksheets.</t>
        </r>
      </text>
    </comment>
    <comment ref="C47" authorId="1">
      <text>
        <r>
          <rPr>
            <sz val="8"/>
            <rFont val="Tahoma"/>
            <family val="2"/>
          </rPr>
          <t xml:space="preserve">Waters were analysed on ICP-OES method DO13 </t>
        </r>
        <r>
          <rPr>
            <b/>
            <sz val="8"/>
            <rFont val="Tahoma"/>
            <family val="2"/>
          </rPr>
          <t xml:space="preserve">NOT </t>
        </r>
        <r>
          <rPr>
            <sz val="8"/>
            <rFont val="Tahoma"/>
            <family val="2"/>
          </rPr>
          <t>ICP-MS method DO51 hence det limits different from 31st Oct'06. Also plastering work carried out on walls adjacent to analytical as this sample was being analysed.</t>
        </r>
        <r>
          <rPr>
            <sz val="8"/>
            <rFont val="Tahoma"/>
            <family val="2"/>
          </rPr>
          <t xml:space="preserve">
</t>
        </r>
      </text>
    </comment>
    <comment ref="C48" authorId="1">
      <text>
        <r>
          <rPr>
            <sz val="8"/>
            <rFont val="Tahoma"/>
            <family val="2"/>
          </rPr>
          <t xml:space="preserve">Waters were analysed on ICP-OES method DO13 </t>
        </r>
        <r>
          <rPr>
            <b/>
            <sz val="8"/>
            <rFont val="Tahoma"/>
            <family val="2"/>
          </rPr>
          <t xml:space="preserve">NOT </t>
        </r>
        <r>
          <rPr>
            <sz val="8"/>
            <rFont val="Tahoma"/>
            <family val="2"/>
          </rPr>
          <t>ICP-MS method DO51 hence det limits different from 31st Oct'06. Also plastering work carried out on walls adjacent to analytical as this sample was being analysed.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ICP data not UKAS accredited</t>
        </r>
      </text>
    </comment>
    <comment ref="BO4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If Total Anions missing then Total Cations have been deleted</t>
        </r>
      </text>
    </comment>
    <comment ref="BP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Total Cations missing then Total Anions have been deleted</t>
        </r>
      </text>
    </comment>
    <comment ref="B7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Rachel to get back to me re time</t>
        </r>
      </text>
    </comment>
    <comment ref="AD89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This F result was &lt; det limit but a Fluoride peak was seen</t>
        </r>
      </text>
    </comment>
    <comment ref="AD90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This F result was &lt; det limit but a Fluoride peak was seen</t>
        </r>
      </text>
    </comment>
    <comment ref="C103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This sample taken aprrox 20m above usual site</t>
        </r>
      </text>
    </comment>
    <comment ref="D103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This sample taken aprrox 20m above usual site</t>
        </r>
      </text>
    </comment>
    <comment ref="AD4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F analysis carried out after Icelandic volcanic eruption in April'10. Columns replaced on dionex so det limit changes from &lt;0.05 to &lt;0.006 from Aug'10 onwards</t>
        </r>
      </text>
    </comment>
    <comment ref="W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S not accurate due to N &amp; O interference on the ICP-MS from 10th April'07 onwards. S not reported by analytical from 14th Oct'08 onwards.See Mharcaidh montane water chemistry (RAW DATA) for any reported data.</t>
        </r>
      </text>
    </comment>
    <comment ref="AT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S not accurate due to N &amp; O interference on the ICP-MS from 10th April'07 onwards. S not reported by analytical from 14th Oct'08 onwards.See Mharcaidh montane water chemistry (RAW DATA) for any reported data.</t>
        </r>
      </text>
    </comment>
  </commentList>
</comments>
</file>

<file path=xl/sharedStrings.xml><?xml version="1.0" encoding="utf-8"?>
<sst xmlns="http://schemas.openxmlformats.org/spreadsheetml/2006/main" count="249" uniqueCount="115">
  <si>
    <t>Fe</t>
  </si>
  <si>
    <t>Mn</t>
  </si>
  <si>
    <t>Al</t>
  </si>
  <si>
    <t>Si</t>
  </si>
  <si>
    <t>K</t>
  </si>
  <si>
    <t>Ca</t>
  </si>
  <si>
    <t>Mg</t>
  </si>
  <si>
    <t>Na</t>
  </si>
  <si>
    <t>Cl</t>
  </si>
  <si>
    <t>pH</t>
  </si>
  <si>
    <t>Temp</t>
  </si>
  <si>
    <t>Cond</t>
  </si>
  <si>
    <t>P</t>
  </si>
  <si>
    <t>S</t>
  </si>
  <si>
    <t>Cu</t>
  </si>
  <si>
    <t>Zn</t>
  </si>
  <si>
    <t>Date</t>
  </si>
  <si>
    <t>H</t>
  </si>
  <si>
    <r>
      <t>ueql</t>
    </r>
    <r>
      <rPr>
        <b/>
        <vertAlign val="superscript"/>
        <sz val="10"/>
        <rFont val="Arial"/>
        <family val="2"/>
      </rPr>
      <t>-1</t>
    </r>
  </si>
  <si>
    <t>Inorganic N</t>
  </si>
  <si>
    <r>
      <t>mgl</t>
    </r>
    <r>
      <rPr>
        <b/>
        <vertAlign val="superscript"/>
        <sz val="10"/>
        <rFont val="Arial"/>
        <family val="2"/>
      </rPr>
      <t>-1</t>
    </r>
  </si>
  <si>
    <r>
      <t>ueql</t>
    </r>
    <r>
      <rPr>
        <b/>
        <vertAlign val="superscript"/>
        <sz val="10"/>
        <rFont val="Arial"/>
        <family val="2"/>
      </rPr>
      <t>-1</t>
    </r>
  </si>
  <si>
    <t>GMT</t>
  </si>
  <si>
    <t>DOC</t>
  </si>
  <si>
    <r>
      <t>mgl</t>
    </r>
    <r>
      <rPr>
        <b/>
        <vertAlign val="superscript"/>
        <sz val="10"/>
        <rFont val="Arial"/>
        <family val="2"/>
      </rPr>
      <t>-1</t>
    </r>
  </si>
  <si>
    <t>Mharcaidh Montane Project</t>
  </si>
  <si>
    <t>Cells with fill colour red contain values which have been deleted from further analysis.</t>
  </si>
  <si>
    <t>Click on cell to view deleted data.</t>
  </si>
  <si>
    <t>Sample Nos.</t>
  </si>
  <si>
    <t>Bible Nos</t>
  </si>
  <si>
    <t>Height</t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</si>
  <si>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0"/>
      </rPr>
      <t>-N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</si>
  <si>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>-N</t>
    </r>
  </si>
  <si>
    <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0"/>
      </rPr>
      <t>-P</t>
    </r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</si>
  <si>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0"/>
      </rPr>
      <t>-S</t>
    </r>
  </si>
  <si>
    <t>Total N(filtered)</t>
  </si>
  <si>
    <t>Org N(calc)</t>
  </si>
  <si>
    <t>Total N(unfiltered)</t>
  </si>
  <si>
    <t>%</t>
  </si>
  <si>
    <t>µmolc L–1</t>
  </si>
  <si>
    <t>µmol L–1</t>
  </si>
  <si>
    <t>Comments</t>
  </si>
  <si>
    <t>cms</t>
  </si>
  <si>
    <r>
      <t>mgl-1</t>
    </r>
  </si>
  <si>
    <r>
      <t>o</t>
    </r>
    <r>
      <rPr>
        <b/>
        <sz val="10"/>
        <rFont val="Arial"/>
        <family val="0"/>
      </rPr>
      <t>C</t>
    </r>
  </si>
  <si>
    <t>uS/cm</t>
  </si>
  <si>
    <r>
      <t>mgl</t>
    </r>
    <r>
      <rPr>
        <b/>
        <vertAlign val="superscript"/>
        <sz val="10"/>
        <color indexed="10"/>
        <rFont val="Arial"/>
        <family val="2"/>
      </rPr>
      <t>-1</t>
    </r>
  </si>
  <si>
    <r>
      <t>ueql</t>
    </r>
    <r>
      <rPr>
        <b/>
        <vertAlign val="superscript"/>
        <sz val="10"/>
        <rFont val="Arial"/>
        <family val="2"/>
      </rPr>
      <t>-1</t>
    </r>
  </si>
  <si>
    <r>
      <t>ueql</t>
    </r>
    <r>
      <rPr>
        <b/>
        <vertAlign val="superscript"/>
        <sz val="10"/>
        <color indexed="10"/>
        <rFont val="Arial"/>
        <family val="2"/>
      </rPr>
      <t>-1</t>
    </r>
  </si>
  <si>
    <t>Sum BC</t>
  </si>
  <si>
    <t>Sum AA</t>
  </si>
  <si>
    <t>EXC</t>
  </si>
  <si>
    <t>HCO3</t>
  </si>
  <si>
    <t>ORG-OLV</t>
  </si>
  <si>
    <t>ANC</t>
  </si>
  <si>
    <t>CATION</t>
  </si>
  <si>
    <t>ANION</t>
  </si>
  <si>
    <t>ALTOT</t>
  </si>
  <si>
    <t>ORGCHG</t>
  </si>
  <si>
    <t>mDOC</t>
  </si>
  <si>
    <t>Detection Limits</t>
  </si>
  <si>
    <t>No data</t>
  </si>
  <si>
    <t>Snow lying in the catchment to some degree above the tree-line.</t>
  </si>
  <si>
    <t>Sparse snow patches in upper areas of the catchment.All catchment streams in light spate due to recent snow melt.</t>
  </si>
  <si>
    <t>Fresh snow lying above 2000ft.</t>
  </si>
  <si>
    <t>Snow patches lying above 2500ft. in catchment.</t>
  </si>
  <si>
    <t>All snow now melted. No snow remains in the Mharcaidh catchment.</t>
  </si>
  <si>
    <t>Used different type filter paper.</t>
  </si>
  <si>
    <t>This sample taken by Malcolm as Jo on holiday</t>
  </si>
  <si>
    <t>Recent snow lying above 2600ft in the catchment.</t>
  </si>
  <si>
    <t>No snow lying in the catchment.</t>
  </si>
  <si>
    <t>Snow lying over the whole catchment.</t>
  </si>
  <si>
    <t>Snow lying over much of the catchment to some degree above the tree-line.</t>
  </si>
  <si>
    <t>Some old winter snow patches lying in the upper catchment but not affecting this run-off.</t>
  </si>
  <si>
    <t>Fresh snow lying in the catchment above 2500ft.</t>
  </si>
  <si>
    <t>Dusting of fresh snow lying on Sgoran Dubh summit.Not affecting this stream's catchment.All winter snow patches now melted.</t>
  </si>
  <si>
    <t>All streams in the Mharcaidh catchment low.</t>
  </si>
  <si>
    <t>All catchment streams low.</t>
  </si>
  <si>
    <t>Allt a' Mharcaidh catchment streams low.</t>
  </si>
  <si>
    <t>G6-89</t>
  </si>
  <si>
    <t>Allt a' Mharcaidh and all catchment streams in moderate spate due to recent and current rain.</t>
  </si>
  <si>
    <t>G6-94</t>
  </si>
  <si>
    <t>G6-99</t>
  </si>
  <si>
    <t>Allt a' Mharcaidh and all catchment streams in moderate spate due to recent rain.</t>
  </si>
  <si>
    <t>G6-104</t>
  </si>
  <si>
    <t>G6-109</t>
  </si>
  <si>
    <t>G6-114</t>
  </si>
  <si>
    <t>G6-119</t>
  </si>
  <si>
    <t>All catchment streams in moderate spate due to recent rain and snow melt.Catchment 15% patchy snow cover mainly above 2500ft.</t>
  </si>
  <si>
    <t>G6-124</t>
  </si>
  <si>
    <t>G6</t>
  </si>
  <si>
    <t>G6-129</t>
  </si>
  <si>
    <t>G6-134</t>
  </si>
  <si>
    <t>G6-139</t>
  </si>
  <si>
    <t>G6-144</t>
  </si>
  <si>
    <t>G6-149</t>
  </si>
  <si>
    <t>G6-154</t>
  </si>
  <si>
    <t>G6-159</t>
  </si>
  <si>
    <t>G6-164</t>
  </si>
  <si>
    <t>G6-169</t>
  </si>
  <si>
    <t>G6-174</t>
  </si>
  <si>
    <t>G6-179</t>
  </si>
  <si>
    <t>G6-184</t>
  </si>
  <si>
    <t>G6-189</t>
  </si>
  <si>
    <t>G6-194</t>
  </si>
  <si>
    <t xml:space="preserve">G6 </t>
  </si>
  <si>
    <t>Total Cations</t>
  </si>
  <si>
    <t>Total Anions</t>
  </si>
  <si>
    <t>C:A</t>
  </si>
  <si>
    <t>Alkalinity</t>
  </si>
  <si>
    <t>Na:Cl</t>
  </si>
  <si>
    <t>&lt;0.05</t>
  </si>
  <si>
    <t>F</t>
  </si>
  <si>
    <t>Stream Gauge 6 (Allt Geal-charn)</t>
  </si>
  <si>
    <t>LAST G6 SAMPLING BY JO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</si>
</sst>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0"/>
    <numFmt numFmtId="175" formatCode="0.00000"/>
    <numFmt numFmtId="176" formatCode="0.0"/>
    <numFmt numFmtId="177" formatCode="[$-809]dd\ mmmm\ yyyy"/>
    <numFmt numFmtId="178" formatCode="&quot;$&quot;#,##0.00"/>
    <numFmt numFmtId="179" formatCode="mmmm\ d\,\ yyyy"/>
    <numFmt numFmtId="180" formatCode="d\-mmm\-yyyy"/>
    <numFmt numFmtId="181" formatCode="mmm\-yyyy"/>
    <numFmt numFmtId="182" formatCode="0.0%"/>
    <numFmt numFmtId="183" formatCode="0_)"/>
    <numFmt numFmtId="184" formatCode="0.00%_)"/>
    <numFmt numFmtId="185" formatCode="[$-409]dddd\,\ mmmm\ dd\,\ yyyy"/>
    <numFmt numFmtId="186" formatCode="m/d/yyyy_)"/>
    <numFmt numFmtId="187" formatCode="0.00?%_)"/>
    <numFmt numFmtId="188" formatCode="0.0??%_)"/>
    <numFmt numFmtId="189" formatCode="000000"/>
    <numFmt numFmtId="190" formatCode="yyyy"/>
    <numFmt numFmtId="191" formatCode="0.####"/>
    <numFmt numFmtId="192" formatCode="0.#"/>
    <numFmt numFmtId="193" formatCode="0.###"/>
    <numFmt numFmtId="194" formatCode="0.##"/>
    <numFmt numFmtId="195" formatCode="0.#####"/>
    <numFmt numFmtId="196" formatCode="0.########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i/>
      <u val="single"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name val="Tahoma"/>
      <family val="2"/>
    </font>
    <font>
      <u val="single"/>
      <sz val="10"/>
      <color indexed="10"/>
      <name val="Arial"/>
      <family val="2"/>
    </font>
    <font>
      <b/>
      <u val="single"/>
      <sz val="11"/>
      <color indexed="14"/>
      <name val="Arial"/>
      <family val="2"/>
    </font>
    <font>
      <b/>
      <sz val="10"/>
      <color indexed="14"/>
      <name val="Arial"/>
      <family val="2"/>
    </font>
    <font>
      <u val="single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u val="single"/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i/>
      <sz val="8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.25"/>
      <color indexed="8"/>
      <name val="Arial"/>
      <family val="0"/>
    </font>
    <font>
      <b/>
      <sz val="1.5"/>
      <color indexed="8"/>
      <name val="Arial"/>
      <family val="0"/>
    </font>
    <font>
      <b/>
      <vertAlign val="subscript"/>
      <sz val="1.5"/>
      <color indexed="8"/>
      <name val="Arial"/>
      <family val="0"/>
    </font>
    <font>
      <b/>
      <vertAlign val="subscript"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5" fontId="0" fillId="0" borderId="0" xfId="0" applyNumberFormat="1" applyFont="1" applyAlignment="1">
      <alignment horizontal="center"/>
    </xf>
    <xf numFmtId="193" fontId="0" fillId="0" borderId="0" xfId="0" applyNumberFormat="1" applyFont="1" applyAlignment="1">
      <alignment horizontal="center"/>
    </xf>
    <xf numFmtId="194" fontId="0" fillId="0" borderId="0" xfId="0" applyNumberFormat="1" applyFont="1" applyAlignment="1">
      <alignment horizontal="center"/>
    </xf>
    <xf numFmtId="193" fontId="0" fillId="0" borderId="0" xfId="0" applyNumberFormat="1" applyFont="1" applyAlignment="1">
      <alignment horizontal="center"/>
    </xf>
    <xf numFmtId="194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11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35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89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2" fontId="11" fillId="0" borderId="0" xfId="0" applyNumberFormat="1" applyFont="1" applyFill="1" applyAlignment="1">
      <alignment horizontal="left"/>
    </xf>
    <xf numFmtId="173" fontId="1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93" fontId="0" fillId="0" borderId="0" xfId="0" applyNumberFormat="1" applyFont="1" applyFill="1" applyAlignment="1">
      <alignment horizontal="center"/>
    </xf>
    <xf numFmtId="194" fontId="0" fillId="0" borderId="0" xfId="0" applyNumberFormat="1" applyFont="1" applyFill="1" applyAlignment="1">
      <alignment horizontal="center"/>
    </xf>
    <xf numFmtId="193" fontId="0" fillId="0" borderId="0" xfId="0" applyNumberFormat="1" applyFont="1" applyFill="1" applyAlignment="1">
      <alignment horizontal="center"/>
    </xf>
    <xf numFmtId="194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9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192" fontId="0" fillId="0" borderId="0" xfId="0" applyNumberFormat="1" applyAlignment="1">
      <alignment horizontal="center"/>
    </xf>
    <xf numFmtId="191" fontId="0" fillId="0" borderId="0" xfId="0" applyNumberFormat="1" applyAlignment="1">
      <alignment horizontal="center"/>
    </xf>
    <xf numFmtId="195" fontId="0" fillId="0" borderId="0" xfId="0" applyNumberFormat="1" applyAlignment="1">
      <alignment horizontal="center"/>
    </xf>
    <xf numFmtId="196" fontId="0" fillId="0" borderId="0" xfId="0" applyNumberFormat="1" applyAlignment="1">
      <alignment horizontal="center"/>
    </xf>
    <xf numFmtId="191" fontId="0" fillId="0" borderId="0" xfId="0" applyNumberFormat="1" applyFill="1" applyBorder="1" applyAlignment="1">
      <alignment horizontal="center"/>
    </xf>
    <xf numFmtId="193" fontId="0" fillId="0" borderId="0" xfId="0" applyNumberFormat="1" applyFill="1" applyBorder="1" applyAlignment="1">
      <alignment horizontal="center"/>
    </xf>
    <xf numFmtId="19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5" fontId="0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left"/>
    </xf>
    <xf numFmtId="172" fontId="24" fillId="0" borderId="0" xfId="0" applyNumberFormat="1" applyFont="1" applyFill="1" applyAlignment="1">
      <alignment horizontal="left"/>
    </xf>
    <xf numFmtId="173" fontId="1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/>
    </xf>
    <xf numFmtId="173" fontId="25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 horizontal="center"/>
    </xf>
    <xf numFmtId="173" fontId="25" fillId="0" borderId="0" xfId="0" applyNumberFormat="1" applyFont="1" applyFill="1" applyBorder="1" applyAlignment="1">
      <alignment horizontal="center"/>
    </xf>
    <xf numFmtId="15" fontId="0" fillId="0" borderId="0" xfId="0" applyNumberFormat="1" applyFill="1" applyAlignment="1">
      <alignment/>
    </xf>
    <xf numFmtId="15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5" fontId="1" fillId="0" borderId="0" xfId="0" applyNumberFormat="1" applyFont="1" applyAlignment="1">
      <alignment/>
    </xf>
    <xf numFmtId="173" fontId="1" fillId="35" borderId="0" xfId="0" applyNumberFormat="1" applyFont="1" applyFill="1" applyAlignment="1">
      <alignment/>
    </xf>
    <xf numFmtId="2" fontId="0" fillId="0" borderId="0" xfId="0" applyNumberFormat="1" applyFont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172" fontId="0" fillId="35" borderId="0" xfId="0" applyNumberFormat="1" applyFill="1" applyAlignment="1">
      <alignment horizontal="center"/>
    </xf>
    <xf numFmtId="194" fontId="0" fillId="35" borderId="0" xfId="0" applyNumberFormat="1" applyFill="1" applyAlignment="1">
      <alignment horizontal="center"/>
    </xf>
    <xf numFmtId="173" fontId="25" fillId="0" borderId="0" xfId="0" applyNumberFormat="1" applyFont="1" applyFill="1" applyAlignment="1">
      <alignment/>
    </xf>
    <xf numFmtId="173" fontId="14" fillId="0" borderId="0" xfId="0" applyNumberFormat="1" applyFont="1" applyFill="1" applyAlignment="1">
      <alignment/>
    </xf>
    <xf numFmtId="173" fontId="14" fillId="0" borderId="0" xfId="0" applyNumberFormat="1" applyFont="1" applyFill="1" applyAlignment="1">
      <alignment horizontal="center"/>
    </xf>
    <xf numFmtId="173" fontId="25" fillId="0" borderId="0" xfId="0" applyNumberFormat="1" applyFont="1" applyFill="1" applyAlignment="1">
      <alignment horizontal="center"/>
    </xf>
    <xf numFmtId="191" fontId="0" fillId="0" borderId="0" xfId="0" applyNumberFormat="1" applyFont="1" applyFill="1" applyAlignment="1">
      <alignment horizontal="left"/>
    </xf>
    <xf numFmtId="172" fontId="0" fillId="35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3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8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93" fontId="0" fillId="0" borderId="0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76" fontId="26" fillId="0" borderId="0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92" fontId="0" fillId="0" borderId="0" xfId="0" applyNumberFormat="1" applyFont="1" applyAlignment="1">
      <alignment horizontal="center"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58" applyAlignment="1">
      <alignment horizontal="center"/>
      <protection/>
    </xf>
    <xf numFmtId="192" fontId="0" fillId="0" borderId="0" xfId="58" applyNumberFormat="1" applyAlignment="1">
      <alignment horizontal="center"/>
      <protection/>
    </xf>
    <xf numFmtId="173" fontId="1" fillId="0" borderId="0" xfId="58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92" fontId="0" fillId="0" borderId="0" xfId="0" applyNumberFormat="1" applyFont="1" applyAlignment="1">
      <alignment horizontal="center"/>
    </xf>
    <xf numFmtId="192" fontId="75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58" applyNumberFormat="1" applyAlignment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Alignment="1">
      <alignment horizontal="center" vertical="center"/>
    </xf>
    <xf numFmtId="172" fontId="0" fillId="0" borderId="0" xfId="57" applyNumberFormat="1" applyAlignment="1">
      <alignment horizontal="center"/>
      <protection/>
    </xf>
    <xf numFmtId="172" fontId="0" fillId="0" borderId="0" xfId="58" applyNumberFormat="1" applyFont="1" applyFill="1" applyBorder="1" applyAlignment="1" applyProtection="1">
      <alignment horizontal="center"/>
      <protection/>
    </xf>
    <xf numFmtId="172" fontId="0" fillId="0" borderId="0" xfId="58" applyNumberFormat="1" applyFont="1" applyBorder="1" applyAlignment="1">
      <alignment horizontal="center"/>
      <protection/>
    </xf>
    <xf numFmtId="172" fontId="0" fillId="0" borderId="0" xfId="58" applyNumberFormat="1" applyFont="1" applyAlignment="1">
      <alignment horizontal="center"/>
      <protection/>
    </xf>
    <xf numFmtId="172" fontId="1" fillId="0" borderId="0" xfId="0" applyNumberFormat="1" applyFont="1" applyFill="1" applyAlignment="1">
      <alignment horizontal="center"/>
    </xf>
    <xf numFmtId="0" fontId="76" fillId="0" borderId="0" xfId="0" applyFont="1" applyFill="1" applyAlignment="1">
      <alignment/>
    </xf>
    <xf numFmtId="1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8" fillId="0" borderId="0" xfId="0" applyNumberFormat="1" applyFont="1" applyBorder="1" applyAlignment="1">
      <alignment horizontal="center"/>
    </xf>
    <xf numFmtId="15" fontId="0" fillId="0" borderId="0" xfId="0" applyNumberFormat="1" applyBorder="1" applyAlignment="1">
      <alignment/>
    </xf>
    <xf numFmtId="15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 pag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data'!$AG$8:$AG$104</c:f>
              <c:numCache>
                <c:ptCount val="97"/>
                <c:pt idx="0">
                  <c:v>4.7555555555555555</c:v>
                </c:pt>
                <c:pt idx="1">
                  <c:v>3.2222222222222223</c:v>
                </c:pt>
                <c:pt idx="2">
                  <c:v>14.144444444444446</c:v>
                </c:pt>
                <c:pt idx="3">
                  <c:v>7.422222222222222</c:v>
                </c:pt>
                <c:pt idx="4">
                  <c:v>3.8666666666666667</c:v>
                </c:pt>
                <c:pt idx="5">
                  <c:v>8.900000000000002</c:v>
                </c:pt>
                <c:pt idx="6">
                  <c:v>3.177777777777778</c:v>
                </c:pt>
                <c:pt idx="7">
                  <c:v>3.988888888888889</c:v>
                </c:pt>
                <c:pt idx="8">
                  <c:v>3.8888888888888897</c:v>
                </c:pt>
                <c:pt idx="9">
                  <c:v>3.4222222222222225</c:v>
                </c:pt>
                <c:pt idx="10">
                  <c:v>2.2244444444444444</c:v>
                </c:pt>
                <c:pt idx="11">
                  <c:v>8.677777777777779</c:v>
                </c:pt>
                <c:pt idx="12">
                  <c:v>5.811111111111111</c:v>
                </c:pt>
                <c:pt idx="13">
                  <c:v>6.2444444444444445</c:v>
                </c:pt>
                <c:pt idx="14">
                  <c:v>2.388888888888889</c:v>
                </c:pt>
                <c:pt idx="15">
                  <c:v>9.144444444444444</c:v>
                </c:pt>
                <c:pt idx="16">
                  <c:v>11.83333333333333</c:v>
                </c:pt>
                <c:pt idx="17">
                  <c:v>2.5888888888888895</c:v>
                </c:pt>
                <c:pt idx="18">
                  <c:v>2.7666666666666666</c:v>
                </c:pt>
                <c:pt idx="19">
                  <c:v>2.4999999999999996</c:v>
                </c:pt>
                <c:pt idx="20">
                  <c:v>2.7444444444444445</c:v>
                </c:pt>
                <c:pt idx="21">
                  <c:v>8.266666666666666</c:v>
                </c:pt>
                <c:pt idx="22">
                  <c:v>5.177777777777779</c:v>
                </c:pt>
                <c:pt idx="23">
                  <c:v>6.277777777777778</c:v>
                </c:pt>
                <c:pt idx="24">
                  <c:v>5.311111111111112</c:v>
                </c:pt>
                <c:pt idx="25">
                  <c:v>10.533333333333333</c:v>
                </c:pt>
                <c:pt idx="26">
                  <c:v>5.7555555555555555</c:v>
                </c:pt>
                <c:pt idx="27">
                  <c:v>4.122222222222223</c:v>
                </c:pt>
                <c:pt idx="28">
                  <c:v>2.7</c:v>
                </c:pt>
                <c:pt idx="29">
                  <c:v>4.344444444444445</c:v>
                </c:pt>
                <c:pt idx="30">
                  <c:v>6.6</c:v>
                </c:pt>
                <c:pt idx="31">
                  <c:v>5.933333333333334</c:v>
                </c:pt>
                <c:pt idx="32">
                  <c:v>8.088888888888889</c:v>
                </c:pt>
                <c:pt idx="33">
                  <c:v>2.6333333333333333</c:v>
                </c:pt>
                <c:pt idx="34">
                  <c:v>11.166666666666666</c:v>
                </c:pt>
                <c:pt idx="35">
                  <c:v>2.2222222222222223</c:v>
                </c:pt>
                <c:pt idx="36">
                  <c:v>21</c:v>
                </c:pt>
                <c:pt idx="37">
                  <c:v>11.222222222222223</c:v>
                </c:pt>
                <c:pt idx="38">
                  <c:v>9.709999999999999</c:v>
                </c:pt>
                <c:pt idx="39">
                  <c:v>7.000000000000001</c:v>
                </c:pt>
                <c:pt idx="40">
                  <c:v>7.222222222222222</c:v>
                </c:pt>
                <c:pt idx="41">
                  <c:v>4.111111111111111</c:v>
                </c:pt>
                <c:pt idx="42">
                  <c:v>2.5444444444444443</c:v>
                </c:pt>
                <c:pt idx="43">
                  <c:v>2.721111111111111</c:v>
                </c:pt>
                <c:pt idx="44">
                  <c:v>6.837777777777777</c:v>
                </c:pt>
                <c:pt idx="45">
                  <c:v>5.37</c:v>
                </c:pt>
                <c:pt idx="46">
                  <c:v>5.779999999999999</c:v>
                </c:pt>
                <c:pt idx="47">
                  <c:v>3.9122222222222223</c:v>
                </c:pt>
                <c:pt idx="48">
                  <c:v>6.955555555555557</c:v>
                </c:pt>
                <c:pt idx="49">
                  <c:v>4.873333333333334</c:v>
                </c:pt>
                <c:pt idx="50">
                  <c:v>6.572222222222222</c:v>
                </c:pt>
                <c:pt idx="51">
                  <c:v>2.7600000000000002</c:v>
                </c:pt>
                <c:pt idx="52">
                  <c:v>3.4888888888888885</c:v>
                </c:pt>
                <c:pt idx="53">
                  <c:v>4.766666666666667</c:v>
                </c:pt>
                <c:pt idx="54">
                  <c:v>4.012222222222222</c:v>
                </c:pt>
                <c:pt idx="55">
                  <c:v>5.398888888888889</c:v>
                </c:pt>
                <c:pt idx="56">
                  <c:v>4.676666666666667</c:v>
                </c:pt>
                <c:pt idx="57">
                  <c:v>4.061111111111111</c:v>
                </c:pt>
                <c:pt idx="58">
                  <c:v>8.217777777777776</c:v>
                </c:pt>
                <c:pt idx="59">
                  <c:v>5.626666666666666</c:v>
                </c:pt>
                <c:pt idx="60">
                  <c:v>10.282222222222222</c:v>
                </c:pt>
                <c:pt idx="61">
                  <c:v>6.172222222222223</c:v>
                </c:pt>
                <c:pt idx="62">
                  <c:v>3.48</c:v>
                </c:pt>
                <c:pt idx="63">
                  <c:v>10.926666666666666</c:v>
                </c:pt>
                <c:pt idx="64">
                  <c:v>5.305555555555555</c:v>
                </c:pt>
                <c:pt idx="65">
                  <c:v>5.366666666666667</c:v>
                </c:pt>
                <c:pt idx="66">
                  <c:v>8.392222222222221</c:v>
                </c:pt>
                <c:pt idx="67">
                  <c:v>3.9066666666666667</c:v>
                </c:pt>
                <c:pt idx="68">
                  <c:v>2.5366666666666666</c:v>
                </c:pt>
                <c:pt idx="69">
                  <c:v>3.286666666666667</c:v>
                </c:pt>
                <c:pt idx="70">
                  <c:v>4.908888888888889</c:v>
                </c:pt>
                <c:pt idx="71">
                  <c:v>2.62</c:v>
                </c:pt>
                <c:pt idx="72">
                  <c:v>6.9655555555555555</c:v>
                </c:pt>
                <c:pt idx="73">
                  <c:v>5.877777777777778</c:v>
                </c:pt>
                <c:pt idx="74">
                  <c:v>3.9255555555555555</c:v>
                </c:pt>
                <c:pt idx="75">
                  <c:v>9.899999999999999</c:v>
                </c:pt>
                <c:pt idx="76">
                  <c:v>5.184444444444445</c:v>
                </c:pt>
                <c:pt idx="77">
                  <c:v>5.026666666666667</c:v>
                </c:pt>
                <c:pt idx="78">
                  <c:v>6.157777777777778</c:v>
                </c:pt>
                <c:pt idx="79">
                  <c:v>4.781111111111111</c:v>
                </c:pt>
                <c:pt idx="80">
                  <c:v>5.476666666666667</c:v>
                </c:pt>
                <c:pt idx="81">
                  <c:v>5.314444444444444</c:v>
                </c:pt>
                <c:pt idx="82">
                  <c:v>3.9544444444444435</c:v>
                </c:pt>
                <c:pt idx="83">
                  <c:v>2.5533333333333332</c:v>
                </c:pt>
                <c:pt idx="84">
                  <c:v>17.37777777777778</c:v>
                </c:pt>
                <c:pt idx="85">
                  <c:v>3.7800000000000002</c:v>
                </c:pt>
                <c:pt idx="86">
                  <c:v>13.288888888888888</c:v>
                </c:pt>
                <c:pt idx="87">
                  <c:v>6.051111111111111</c:v>
                </c:pt>
                <c:pt idx="88">
                  <c:v>4.144444444444445</c:v>
                </c:pt>
                <c:pt idx="89">
                  <c:v>4.178888888888888</c:v>
                </c:pt>
                <c:pt idx="90">
                  <c:v>7.551111111111112</c:v>
                </c:pt>
                <c:pt idx="91">
                  <c:v>4.34</c:v>
                </c:pt>
                <c:pt idx="92">
                  <c:v>3.604444444444444</c:v>
                </c:pt>
                <c:pt idx="93">
                  <c:v>6.57</c:v>
                </c:pt>
                <c:pt idx="94">
                  <c:v>5.665555555555556</c:v>
                </c:pt>
                <c:pt idx="95">
                  <c:v>2.7455555555555553</c:v>
                </c:pt>
                <c:pt idx="96">
                  <c:v>3.6699999999999995</c:v>
                </c:pt>
              </c:numCache>
            </c:numRef>
          </c:val>
          <c:smooth val="0"/>
        </c:ser>
        <c:marker val="1"/>
        <c:axId val="25378530"/>
        <c:axId val="27080179"/>
      </c:lineChart>
      <c:dateAx>
        <c:axId val="2537853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17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7080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H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08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Inorganic 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data'!$AZ$8:$AZ$104</c:f>
              <c:numCache>
                <c:ptCount val="97"/>
                <c:pt idx="0">
                  <c:v>3.400257142857143</c:v>
                </c:pt>
                <c:pt idx="1">
                  <c:v>5.517142857142858</c:v>
                </c:pt>
                <c:pt idx="2">
                  <c:v>3.3609857142857145</c:v>
                </c:pt>
                <c:pt idx="3">
                  <c:v>3.1435714285714287</c:v>
                </c:pt>
                <c:pt idx="4">
                  <c:v>6.010714285714286</c:v>
                </c:pt>
                <c:pt idx="5">
                  <c:v>3.6971428571428566</c:v>
                </c:pt>
                <c:pt idx="6">
                  <c:v>5.41</c:v>
                </c:pt>
                <c:pt idx="7">
                  <c:v>4.317857142857143</c:v>
                </c:pt>
                <c:pt idx="8">
                  <c:v>5.571428571428572</c:v>
                </c:pt>
                <c:pt idx="9">
                  <c:v>2.5024285714285717</c:v>
                </c:pt>
                <c:pt idx="10">
                  <c:v>2.5</c:v>
                </c:pt>
                <c:pt idx="11">
                  <c:v>4.422142857142857</c:v>
                </c:pt>
                <c:pt idx="12">
                  <c:v>2.5060714285714285</c:v>
                </c:pt>
                <c:pt idx="13">
                  <c:v>2.5050714285714286</c:v>
                </c:pt>
                <c:pt idx="14">
                  <c:v>2.5068</c:v>
                </c:pt>
                <c:pt idx="15">
                  <c:v>2.5100714285714285</c:v>
                </c:pt>
                <c:pt idx="16">
                  <c:v>2.5077142857142856</c:v>
                </c:pt>
                <c:pt idx="17">
                  <c:v>2.8635714285714284</c:v>
                </c:pt>
                <c:pt idx="18">
                  <c:v>2.5052142857142856</c:v>
                </c:pt>
                <c:pt idx="19">
                  <c:v>2.5022357142857143</c:v>
                </c:pt>
                <c:pt idx="20">
                  <c:v>2.5087785714285715</c:v>
                </c:pt>
                <c:pt idx="21">
                  <c:v>2.508642857142857</c:v>
                </c:pt>
                <c:pt idx="22">
                  <c:v>2.723642857142857</c:v>
                </c:pt>
                <c:pt idx="23">
                  <c:v>2.5749999999999997</c:v>
                </c:pt>
                <c:pt idx="24">
                  <c:v>2.9921428571428574</c:v>
                </c:pt>
                <c:pt idx="25">
                  <c:v>8.2</c:v>
                </c:pt>
                <c:pt idx="26">
                  <c:v>2.5044999999999997</c:v>
                </c:pt>
                <c:pt idx="27">
                  <c:v>4.5807142857142855</c:v>
                </c:pt>
                <c:pt idx="28">
                  <c:v>6.298571428571429</c:v>
                </c:pt>
                <c:pt idx="29">
                  <c:v>4.945714285714286</c:v>
                </c:pt>
                <c:pt idx="30">
                  <c:v>5.452857142857143</c:v>
                </c:pt>
                <c:pt idx="31">
                  <c:v>3.242857142857143</c:v>
                </c:pt>
                <c:pt idx="32">
                  <c:v>18.315714285714286</c:v>
                </c:pt>
                <c:pt idx="33">
                  <c:v>3.4985714285714287</c:v>
                </c:pt>
                <c:pt idx="34">
                  <c:v>2.7889642857142856</c:v>
                </c:pt>
                <c:pt idx="35">
                  <c:v>3.7857142857142856</c:v>
                </c:pt>
                <c:pt idx="36">
                  <c:v>3.5714285714285716</c:v>
                </c:pt>
                <c:pt idx="37">
                  <c:v>2.7857142857142856</c:v>
                </c:pt>
                <c:pt idx="38">
                  <c:v>2.5</c:v>
                </c:pt>
                <c:pt idx="39">
                  <c:v>3.428571428571429</c:v>
                </c:pt>
                <c:pt idx="40">
                  <c:v>3.0714285714285716</c:v>
                </c:pt>
                <c:pt idx="41">
                  <c:v>3.4607142857142854</c:v>
                </c:pt>
                <c:pt idx="42">
                  <c:v>4.214285714285714</c:v>
                </c:pt>
                <c:pt idx="43">
                  <c:v>2.785714285714286</c:v>
                </c:pt>
                <c:pt idx="44">
                  <c:v>3.338571428571429</c:v>
                </c:pt>
                <c:pt idx="45">
                  <c:v>10.214285714285714</c:v>
                </c:pt>
                <c:pt idx="46">
                  <c:v>2.5</c:v>
                </c:pt>
                <c:pt idx="47">
                  <c:v>2.751428571428572</c:v>
                </c:pt>
                <c:pt idx="48">
                  <c:v>2.5</c:v>
                </c:pt>
                <c:pt idx="49">
                  <c:v>3.2142857142857144</c:v>
                </c:pt>
                <c:pt idx="50">
                  <c:v>3.4485714285714293</c:v>
                </c:pt>
                <c:pt idx="51">
                  <c:v>3.2042857142857146</c:v>
                </c:pt>
                <c:pt idx="52">
                  <c:v>4.074285714285714</c:v>
                </c:pt>
                <c:pt idx="53">
                  <c:v>2.5395</c:v>
                </c:pt>
                <c:pt idx="54">
                  <c:v>3.297857142857143</c:v>
                </c:pt>
                <c:pt idx="55">
                  <c:v>2.511357142857143</c:v>
                </c:pt>
                <c:pt idx="56">
                  <c:v>6.224285714285713</c:v>
                </c:pt>
                <c:pt idx="57">
                  <c:v>2.540307142857143</c:v>
                </c:pt>
                <c:pt idx="58">
                  <c:v>4.695</c:v>
                </c:pt>
                <c:pt idx="59">
                  <c:v>3.455</c:v>
                </c:pt>
                <c:pt idx="60">
                  <c:v>2.542157142857143</c:v>
                </c:pt>
                <c:pt idx="61">
                  <c:v>2.5410857142857144</c:v>
                </c:pt>
                <c:pt idx="62">
                  <c:v>4.748571428571428</c:v>
                </c:pt>
                <c:pt idx="63">
                  <c:v>2.5217857142857145</c:v>
                </c:pt>
                <c:pt idx="64">
                  <c:v>3.3470714285714287</c:v>
                </c:pt>
                <c:pt idx="65">
                  <c:v>2.5357142857142856</c:v>
                </c:pt>
                <c:pt idx="66">
                  <c:v>4.402857142857143</c:v>
                </c:pt>
                <c:pt idx="67">
                  <c:v>2.535835714285714</c:v>
                </c:pt>
                <c:pt idx="68">
                  <c:v>2.5425</c:v>
                </c:pt>
                <c:pt idx="69">
                  <c:v>4.2092857142857145</c:v>
                </c:pt>
                <c:pt idx="70">
                  <c:v>2.5227142857142857</c:v>
                </c:pt>
                <c:pt idx="71">
                  <c:v>2.5405285714285717</c:v>
                </c:pt>
                <c:pt idx="72">
                  <c:v>3.0410714285714286</c:v>
                </c:pt>
                <c:pt idx="73">
                  <c:v>2.8928571428571423</c:v>
                </c:pt>
                <c:pt idx="74">
                  <c:v>2.8617857142857144</c:v>
                </c:pt>
                <c:pt idx="75">
                  <c:v>2.537307142857143</c:v>
                </c:pt>
                <c:pt idx="76">
                  <c:v>2.5575</c:v>
                </c:pt>
                <c:pt idx="77">
                  <c:v>2.5414</c:v>
                </c:pt>
                <c:pt idx="78">
                  <c:v>4.215</c:v>
                </c:pt>
                <c:pt idx="79">
                  <c:v>2.5494285714285714</c:v>
                </c:pt>
                <c:pt idx="80">
                  <c:v>2.549571428571429</c:v>
                </c:pt>
                <c:pt idx="81">
                  <c:v>3.0757142857142856</c:v>
                </c:pt>
                <c:pt idx="82">
                  <c:v>3.1250000000000004</c:v>
                </c:pt>
                <c:pt idx="83">
                  <c:v>2.5339285714285715</c:v>
                </c:pt>
                <c:pt idx="84">
                  <c:v>2.607642857142857</c:v>
                </c:pt>
                <c:pt idx="85">
                  <c:v>2.6106857142857143</c:v>
                </c:pt>
                <c:pt idx="86">
                  <c:v>2.5636428571428573</c:v>
                </c:pt>
                <c:pt idx="87">
                  <c:v>3.6785714285714284</c:v>
                </c:pt>
                <c:pt idx="88">
                  <c:v>2.5357142857142856</c:v>
                </c:pt>
                <c:pt idx="89">
                  <c:v>2.5164285714285715</c:v>
                </c:pt>
                <c:pt idx="90">
                  <c:v>2.5587857142857144</c:v>
                </c:pt>
                <c:pt idx="91">
                  <c:v>3.145</c:v>
                </c:pt>
                <c:pt idx="92">
                  <c:v>5.417857142857144</c:v>
                </c:pt>
                <c:pt idx="93">
                  <c:v>2.6766428571428573</c:v>
                </c:pt>
                <c:pt idx="94">
                  <c:v>16.75</c:v>
                </c:pt>
                <c:pt idx="95">
                  <c:v>4.707142857142856</c:v>
                </c:pt>
                <c:pt idx="96">
                  <c:v>3.964285714285714</c:v>
                </c:pt>
              </c:numCache>
            </c:numRef>
          </c:val>
          <c:smooth val="0"/>
        </c:ser>
        <c:marker val="1"/>
        <c:axId val="57272358"/>
        <c:axId val="45689175"/>
      </c:lineChart>
      <c:dateAx>
        <c:axId val="5727235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917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5689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2358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H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9392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H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855"/>
          <c:w val="0.934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data'!$AR$8:$AR$104</c:f>
              <c:numCache>
                <c:ptCount val="97"/>
                <c:pt idx="0">
                  <c:v>3.1622776601683795</c:v>
                </c:pt>
                <c:pt idx="1">
                  <c:v>0.24547089156850282</c:v>
                </c:pt>
                <c:pt idx="2">
                  <c:v>5.011872336272726</c:v>
                </c:pt>
                <c:pt idx="3">
                  <c:v>0.45708818961487513</c:v>
                </c:pt>
                <c:pt idx="4">
                  <c:v>0.3311311214825907</c:v>
                </c:pt>
                <c:pt idx="5">
                  <c:v>0.7762471166286912</c:v>
                </c:pt>
                <c:pt idx="6">
                  <c:v>1.778279410038923</c:v>
                </c:pt>
                <c:pt idx="7">
                  <c:v>0.6309573444801929</c:v>
                </c:pt>
                <c:pt idx="8">
                  <c:v>0.3311311214825907</c:v>
                </c:pt>
                <c:pt idx="9">
                  <c:v>1.0232929922807537</c:v>
                </c:pt>
                <c:pt idx="10">
                  <c:v>0.6918309709189362</c:v>
                </c:pt>
                <c:pt idx="11">
                  <c:v>5.623413251903492</c:v>
                </c:pt>
                <c:pt idx="12">
                  <c:v>0.6309573444801929</c:v>
                </c:pt>
                <c:pt idx="13">
                  <c:v>0.5754399373371566</c:v>
                </c:pt>
                <c:pt idx="14">
                  <c:v>3.7153522909717283</c:v>
                </c:pt>
                <c:pt idx="15">
                  <c:v>0.5370317963702532</c:v>
                </c:pt>
                <c:pt idx="16">
                  <c:v>1.2022644346174132</c:v>
                </c:pt>
                <c:pt idx="17">
                  <c:v>0.3801893963205612</c:v>
                </c:pt>
                <c:pt idx="18">
                  <c:v>0.29512092266663836</c:v>
                </c:pt>
                <c:pt idx="19">
                  <c:v>0.31622776601683794</c:v>
                </c:pt>
                <c:pt idx="20">
                  <c:v>0.24547089156850282</c:v>
                </c:pt>
                <c:pt idx="21">
                  <c:v>0.45708818961487513</c:v>
                </c:pt>
                <c:pt idx="22">
                  <c:v>0.29512092266663836</c:v>
                </c:pt>
                <c:pt idx="23">
                  <c:v>0.34673685045253166</c:v>
                </c:pt>
                <c:pt idx="24">
                  <c:v>0.27542287033381685</c:v>
                </c:pt>
                <c:pt idx="25">
                  <c:v>0.4265795188015925</c:v>
                </c:pt>
                <c:pt idx="26">
                  <c:v>0.32359365692962805</c:v>
                </c:pt>
                <c:pt idx="27">
                  <c:v>0.3801893963205612</c:v>
                </c:pt>
                <c:pt idx="28">
                  <c:v>0.2691534803926914</c:v>
                </c:pt>
                <c:pt idx="29">
                  <c:v>0.2818382931264455</c:v>
                </c:pt>
                <c:pt idx="30">
                  <c:v>0.5011872336272725</c:v>
                </c:pt>
                <c:pt idx="31">
                  <c:v>0.363078054770101</c:v>
                </c:pt>
                <c:pt idx="32">
                  <c:v>0.8128305161640995</c:v>
                </c:pt>
                <c:pt idx="33">
                  <c:v>0.26302679918953814</c:v>
                </c:pt>
                <c:pt idx="34">
                  <c:v>1.8620871366628657</c:v>
                </c:pt>
                <c:pt idx="35">
                  <c:v>0.16218100973589297</c:v>
                </c:pt>
                <c:pt idx="36">
                  <c:v>2.5118864315095824</c:v>
                </c:pt>
                <c:pt idx="37">
                  <c:v>0.4466835921509635</c:v>
                </c:pt>
                <c:pt idx="38">
                  <c:v>0.6309573444801929</c:v>
                </c:pt>
                <c:pt idx="39">
                  <c:v>1</c:v>
                </c:pt>
                <c:pt idx="40">
                  <c:v>0.7762471166286912</c:v>
                </c:pt>
                <c:pt idx="41">
                  <c:v>0.5495408738576248</c:v>
                </c:pt>
                <c:pt idx="42">
                  <c:v>0.26302679918953814</c:v>
                </c:pt>
                <c:pt idx="43">
                  <c:v>0.20892961308540403</c:v>
                </c:pt>
                <c:pt idx="44">
                  <c:v>0.363078054770101</c:v>
                </c:pt>
                <c:pt idx="45">
                  <c:v>0.28840315031266056</c:v>
                </c:pt>
                <c:pt idx="46">
                  <c:v>0.2691534803926914</c:v>
                </c:pt>
                <c:pt idx="47">
                  <c:v>0.22387211385683375</c:v>
                </c:pt>
                <c:pt idx="48">
                  <c:v>0.15488166189124825</c:v>
                </c:pt>
                <c:pt idx="49">
                  <c:v>0.21379620895022322</c:v>
                </c:pt>
                <c:pt idx="50">
                  <c:v>0.4168693834703355</c:v>
                </c:pt>
                <c:pt idx="51">
                  <c:v>0.34673685045253166</c:v>
                </c:pt>
                <c:pt idx="52">
                  <c:v>0.478630092322638</c:v>
                </c:pt>
                <c:pt idx="53">
                  <c:v>3.2359365692962814</c:v>
                </c:pt>
                <c:pt idx="54">
                  <c:v>0.27542287033381685</c:v>
                </c:pt>
                <c:pt idx="55">
                  <c:v>0.7585775750291835</c:v>
                </c:pt>
                <c:pt idx="56">
                  <c:v>0.38904514499428045</c:v>
                </c:pt>
                <c:pt idx="57">
                  <c:v>0.25703957827688645</c:v>
                </c:pt>
                <c:pt idx="58">
                  <c:v>0.27542287033381685</c:v>
                </c:pt>
                <c:pt idx="59">
                  <c:v>0.21379620895022322</c:v>
                </c:pt>
                <c:pt idx="60">
                  <c:v>0.7413102413009177</c:v>
                </c:pt>
                <c:pt idx="61">
                  <c:v>0.37153522909717274</c:v>
                </c:pt>
                <c:pt idx="62">
                  <c:v>0.3388441561392027</c:v>
                </c:pt>
                <c:pt idx="63">
                  <c:v>2.0090928126087277</c:v>
                </c:pt>
                <c:pt idx="64">
                  <c:v>0.8413951416451947</c:v>
                </c:pt>
                <c:pt idx="65">
                  <c:v>0.5997910762555088</c:v>
                </c:pt>
                <c:pt idx="66">
                  <c:v>2.187761623949552</c:v>
                </c:pt>
                <c:pt idx="67">
                  <c:v>0.5395106225151278</c:v>
                </c:pt>
                <c:pt idx="68">
                  <c:v>0.23334580622810042</c:v>
                </c:pt>
                <c:pt idx="69">
                  <c:v>0.2280342072000416</c:v>
                </c:pt>
                <c:pt idx="70">
                  <c:v>0.31622776601683794</c:v>
                </c:pt>
                <c:pt idx="71">
                  <c:v>0.16330519478943345</c:v>
                </c:pt>
                <c:pt idx="72">
                  <c:v>0.28641779699065795</c:v>
                </c:pt>
                <c:pt idx="73">
                  <c:v>1.0568175092136585</c:v>
                </c:pt>
                <c:pt idx="74">
                  <c:v>0.2275097430772071</c:v>
                </c:pt>
                <c:pt idx="75">
                  <c:v>0.49090787615260284</c:v>
                </c:pt>
                <c:pt idx="76">
                  <c:v>0.2618183008218986</c:v>
                </c:pt>
                <c:pt idx="77">
                  <c:v>0.34276778654645046</c:v>
                </c:pt>
                <c:pt idx="78">
                  <c:v>0.582103217770871</c:v>
                </c:pt>
                <c:pt idx="79">
                  <c:v>0.49317380395493543</c:v>
                </c:pt>
                <c:pt idx="80">
                  <c:v>0.7177942912713614</c:v>
                </c:pt>
                <c:pt idx="81">
                  <c:v>0.5272298614228232</c:v>
                </c:pt>
                <c:pt idx="82">
                  <c:v>0.4255984131337426</c:v>
                </c:pt>
                <c:pt idx="83">
                  <c:v>0.27227013080779094</c:v>
                </c:pt>
                <c:pt idx="84">
                  <c:v>9.772372209558114</c:v>
                </c:pt>
                <c:pt idx="85">
                  <c:v>0.26853444456585085</c:v>
                </c:pt>
                <c:pt idx="86">
                  <c:v>11.668096170609632</c:v>
                </c:pt>
                <c:pt idx="87">
                  <c:v>0.23933157564053845</c:v>
                </c:pt>
                <c:pt idx="88">
                  <c:v>0.29512092266663836</c:v>
                </c:pt>
                <c:pt idx="89">
                  <c:v>0.3589219346450049</c:v>
                </c:pt>
                <c:pt idx="90">
                  <c:v>4.988844874600127</c:v>
                </c:pt>
                <c:pt idx="91">
                  <c:v>0.9015711376059571</c:v>
                </c:pt>
                <c:pt idx="92">
                  <c:v>0.2992264636608189</c:v>
                </c:pt>
                <c:pt idx="93">
                  <c:v>1.0543868963912582</c:v>
                </c:pt>
                <c:pt idx="94">
                  <c:v>11.830415557251662</c:v>
                </c:pt>
                <c:pt idx="95">
                  <c:v>0.5675446054085466</c:v>
                </c:pt>
                <c:pt idx="96">
                  <c:v>0.785235634610071</c:v>
                </c:pt>
              </c:numCache>
            </c:numRef>
          </c:val>
          <c:smooth val="0"/>
        </c:ser>
        <c:marker val="1"/>
        <c:axId val="21412122"/>
        <c:axId val="58491371"/>
      </c:lineChart>
      <c:dateAx>
        <c:axId val="21412122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9137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8491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2122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K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60292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K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data'!$AL$8:$AL$104</c:f>
              <c:numCache>
                <c:ptCount val="97"/>
                <c:pt idx="0">
                  <c:v>2.565641025641025</c:v>
                </c:pt>
                <c:pt idx="1">
                  <c:v>4.838461538461539</c:v>
                </c:pt>
                <c:pt idx="2">
                  <c:v>3.2076923076923074</c:v>
                </c:pt>
                <c:pt idx="3">
                  <c:v>4.725641025641026</c:v>
                </c:pt>
                <c:pt idx="4">
                  <c:v>5.884615384615385</c:v>
                </c:pt>
                <c:pt idx="5">
                  <c:v>2.5646153846153843</c:v>
                </c:pt>
                <c:pt idx="6">
                  <c:v>4.246153846153845</c:v>
                </c:pt>
                <c:pt idx="7">
                  <c:v>5.156410256410256</c:v>
                </c:pt>
                <c:pt idx="8">
                  <c:v>5.641025641025641</c:v>
                </c:pt>
                <c:pt idx="9">
                  <c:v>4.456410256410257</c:v>
                </c:pt>
                <c:pt idx="10">
                  <c:v>2.5641025641025643</c:v>
                </c:pt>
                <c:pt idx="11">
                  <c:v>2.5641025641025643</c:v>
                </c:pt>
                <c:pt idx="12">
                  <c:v>2.5641025641025643</c:v>
                </c:pt>
                <c:pt idx="13">
                  <c:v>2.5641025641025643</c:v>
                </c:pt>
                <c:pt idx="14">
                  <c:v>2.5641025641025643</c:v>
                </c:pt>
                <c:pt idx="15">
                  <c:v>2.5641025641025643</c:v>
                </c:pt>
                <c:pt idx="16">
                  <c:v>2.5641025641025643</c:v>
                </c:pt>
                <c:pt idx="17">
                  <c:v>3.1974358974358976</c:v>
                </c:pt>
                <c:pt idx="18">
                  <c:v>2.565128205128205</c:v>
                </c:pt>
                <c:pt idx="19">
                  <c:v>3.0256410256410255</c:v>
                </c:pt>
                <c:pt idx="20">
                  <c:v>3.5025641025641026</c:v>
                </c:pt>
                <c:pt idx="21">
                  <c:v>3.4230769230769234</c:v>
                </c:pt>
                <c:pt idx="22">
                  <c:v>2.566410256410256</c:v>
                </c:pt>
                <c:pt idx="23">
                  <c:v>4.607692307692307</c:v>
                </c:pt>
                <c:pt idx="24">
                  <c:v>5.056410256410256</c:v>
                </c:pt>
                <c:pt idx="25">
                  <c:v>5.856410256410256</c:v>
                </c:pt>
                <c:pt idx="26">
                  <c:v>4.617948717948718</c:v>
                </c:pt>
                <c:pt idx="27">
                  <c:v>6.364102564102564</c:v>
                </c:pt>
                <c:pt idx="28">
                  <c:v>3.605128205128205</c:v>
                </c:pt>
                <c:pt idx="29">
                  <c:v>2.565641025641025</c:v>
                </c:pt>
                <c:pt idx="30">
                  <c:v>3.9871794871794872</c:v>
                </c:pt>
                <c:pt idx="31">
                  <c:v>4.066666666666666</c:v>
                </c:pt>
                <c:pt idx="32">
                  <c:v>5.053846153846154</c:v>
                </c:pt>
                <c:pt idx="33">
                  <c:v>2.5643589743589743</c:v>
                </c:pt>
                <c:pt idx="34">
                  <c:v>2.5641025641025643</c:v>
                </c:pt>
                <c:pt idx="35">
                  <c:v>2.5641025641025643</c:v>
                </c:pt>
                <c:pt idx="36">
                  <c:v>3.3333333333333335</c:v>
                </c:pt>
                <c:pt idx="37">
                  <c:v>4.871794871794872</c:v>
                </c:pt>
                <c:pt idx="38">
                  <c:v>6.076923076923077</c:v>
                </c:pt>
                <c:pt idx="39">
                  <c:v>5.128205128205129</c:v>
                </c:pt>
                <c:pt idx="40">
                  <c:v>2.5641025641025643</c:v>
                </c:pt>
                <c:pt idx="41">
                  <c:v>6.566666666666666</c:v>
                </c:pt>
                <c:pt idx="42">
                  <c:v>7.666666666666666</c:v>
                </c:pt>
                <c:pt idx="43">
                  <c:v>8.666666666666668</c:v>
                </c:pt>
                <c:pt idx="44">
                  <c:v>6.892307692307692</c:v>
                </c:pt>
                <c:pt idx="45">
                  <c:v>13.184615384615386</c:v>
                </c:pt>
                <c:pt idx="46">
                  <c:v>5.302564102564103</c:v>
                </c:pt>
                <c:pt idx="47">
                  <c:v>5.902564102564102</c:v>
                </c:pt>
                <c:pt idx="48">
                  <c:v>6.033333333333333</c:v>
                </c:pt>
                <c:pt idx="49">
                  <c:v>8.166666666666668</c:v>
                </c:pt>
                <c:pt idx="50">
                  <c:v>9.607692307692307</c:v>
                </c:pt>
                <c:pt idx="51">
                  <c:v>6.725641025641025</c:v>
                </c:pt>
                <c:pt idx="52">
                  <c:v>5.87948717948718</c:v>
                </c:pt>
                <c:pt idx="53">
                  <c:v>6.569230769230769</c:v>
                </c:pt>
                <c:pt idx="54">
                  <c:v>4.0717948717948715</c:v>
                </c:pt>
                <c:pt idx="55">
                  <c:v>4.246153846153845</c:v>
                </c:pt>
                <c:pt idx="56">
                  <c:v>8.143589743589743</c:v>
                </c:pt>
                <c:pt idx="57">
                  <c:v>8.782051282051283</c:v>
                </c:pt>
                <c:pt idx="58">
                  <c:v>5.0256410256410255</c:v>
                </c:pt>
                <c:pt idx="59">
                  <c:v>6.194871794871795</c:v>
                </c:pt>
                <c:pt idx="60">
                  <c:v>5.523076923076923</c:v>
                </c:pt>
                <c:pt idx="61">
                  <c:v>4.623076923076923</c:v>
                </c:pt>
                <c:pt idx="62">
                  <c:v>2.5641025641025643</c:v>
                </c:pt>
                <c:pt idx="63">
                  <c:v>6.553846153846154</c:v>
                </c:pt>
                <c:pt idx="64">
                  <c:v>6.25897435897436</c:v>
                </c:pt>
                <c:pt idx="65">
                  <c:v>5.4692307692307685</c:v>
                </c:pt>
                <c:pt idx="66">
                  <c:v>2.5641025641025643</c:v>
                </c:pt>
                <c:pt idx="67">
                  <c:v>6.623076923076923</c:v>
                </c:pt>
                <c:pt idx="68">
                  <c:v>6.433333333333334</c:v>
                </c:pt>
                <c:pt idx="69">
                  <c:v>2.5641025641025643</c:v>
                </c:pt>
                <c:pt idx="70">
                  <c:v>2.5641025641025643</c:v>
                </c:pt>
                <c:pt idx="71">
                  <c:v>2.5641025641025643</c:v>
                </c:pt>
                <c:pt idx="72">
                  <c:v>2.5641025641025643</c:v>
                </c:pt>
                <c:pt idx="73">
                  <c:v>5.17948717948718</c:v>
                </c:pt>
                <c:pt idx="74">
                  <c:v>5.8769230769230765</c:v>
                </c:pt>
                <c:pt idx="75">
                  <c:v>5.9743589743589745</c:v>
                </c:pt>
                <c:pt idx="76">
                  <c:v>6.225641025641026</c:v>
                </c:pt>
                <c:pt idx="77">
                  <c:v>5.317948717948718</c:v>
                </c:pt>
                <c:pt idx="78">
                  <c:v>6.517948717948718</c:v>
                </c:pt>
                <c:pt idx="79">
                  <c:v>7.63076923076923</c:v>
                </c:pt>
                <c:pt idx="80">
                  <c:v>6.635897435897435</c:v>
                </c:pt>
                <c:pt idx="81">
                  <c:v>5.274358974358974</c:v>
                </c:pt>
                <c:pt idx="82">
                  <c:v>2.5641025641025643</c:v>
                </c:pt>
                <c:pt idx="83">
                  <c:v>2.5641025641025643</c:v>
                </c:pt>
                <c:pt idx="84">
                  <c:v>9.941025641025641</c:v>
                </c:pt>
                <c:pt idx="85">
                  <c:v>7.3538461538461535</c:v>
                </c:pt>
                <c:pt idx="86">
                  <c:v>2.5641025641025643</c:v>
                </c:pt>
                <c:pt idx="87">
                  <c:v>5.9512820512820515</c:v>
                </c:pt>
                <c:pt idx="88">
                  <c:v>2.5641025641025643</c:v>
                </c:pt>
                <c:pt idx="89">
                  <c:v>5.4230769230769225</c:v>
                </c:pt>
                <c:pt idx="90">
                  <c:v>2.5641025641025643</c:v>
                </c:pt>
                <c:pt idx="91">
                  <c:v>5.5487179487179485</c:v>
                </c:pt>
                <c:pt idx="92">
                  <c:v>8.097435897435899</c:v>
                </c:pt>
                <c:pt idx="93">
                  <c:v>6.794871794871796</c:v>
                </c:pt>
                <c:pt idx="94">
                  <c:v>9.533333333333335</c:v>
                </c:pt>
                <c:pt idx="95">
                  <c:v>5.425641025641026</c:v>
                </c:pt>
                <c:pt idx="96">
                  <c:v>5.71025641025641</c:v>
                </c:pt>
              </c:numCache>
            </c:numRef>
          </c:val>
          <c:smooth val="0"/>
        </c:ser>
        <c:marker val="1"/>
        <c:axId val="26080910"/>
        <c:axId val="33401599"/>
      </c:lineChart>
      <c:dateAx>
        <c:axId val="2608091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3401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910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Mist - Rain Gauge 7
Mg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875"/>
          <c:w val="0.0897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893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Mg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data'!$AN$8:$AN$104</c:f>
              <c:numCache>
                <c:ptCount val="97"/>
                <c:pt idx="0">
                  <c:v>10.25</c:v>
                </c:pt>
                <c:pt idx="1">
                  <c:v>22.683333333333334</c:v>
                </c:pt>
                <c:pt idx="2">
                  <c:v>31.933333333333334</c:v>
                </c:pt>
                <c:pt idx="3">
                  <c:v>25.091666666666665</c:v>
                </c:pt>
                <c:pt idx="4">
                  <c:v>29.308333333333337</c:v>
                </c:pt>
                <c:pt idx="5">
                  <c:v>25.716666666666665</c:v>
                </c:pt>
                <c:pt idx="6">
                  <c:v>17.483333333333334</c:v>
                </c:pt>
                <c:pt idx="7">
                  <c:v>34.56666666666667</c:v>
                </c:pt>
                <c:pt idx="8">
                  <c:v>30</c:v>
                </c:pt>
                <c:pt idx="9">
                  <c:v>42.80833333333334</c:v>
                </c:pt>
                <c:pt idx="10">
                  <c:v>18.516666666666666</c:v>
                </c:pt>
                <c:pt idx="11">
                  <c:v>30.049999999999997</c:v>
                </c:pt>
                <c:pt idx="12">
                  <c:v>25.841666666666665</c:v>
                </c:pt>
                <c:pt idx="13">
                  <c:v>24.925</c:v>
                </c:pt>
                <c:pt idx="14">
                  <c:v>25.608333333333334</c:v>
                </c:pt>
                <c:pt idx="15">
                  <c:v>25.05</c:v>
                </c:pt>
                <c:pt idx="16">
                  <c:v>24.775000000000002</c:v>
                </c:pt>
                <c:pt idx="17">
                  <c:v>26.341666666666665</c:v>
                </c:pt>
                <c:pt idx="18">
                  <c:v>24.441666666666666</c:v>
                </c:pt>
                <c:pt idx="19">
                  <c:v>27.325000000000003</c:v>
                </c:pt>
                <c:pt idx="20">
                  <c:v>28.85</c:v>
                </c:pt>
                <c:pt idx="21">
                  <c:v>27.224999999999998</c:v>
                </c:pt>
                <c:pt idx="22">
                  <c:v>26.866666666666667</c:v>
                </c:pt>
                <c:pt idx="23">
                  <c:v>25.883333333333333</c:v>
                </c:pt>
                <c:pt idx="24">
                  <c:v>30.424999999999997</c:v>
                </c:pt>
                <c:pt idx="25">
                  <c:v>22.933333333333334</c:v>
                </c:pt>
                <c:pt idx="26">
                  <c:v>25.26666666666667</c:v>
                </c:pt>
                <c:pt idx="27">
                  <c:v>21.625000000000004</c:v>
                </c:pt>
                <c:pt idx="28">
                  <c:v>25.666666666666668</c:v>
                </c:pt>
                <c:pt idx="29">
                  <c:v>27.316666666666666</c:v>
                </c:pt>
                <c:pt idx="30">
                  <c:v>18.05</c:v>
                </c:pt>
                <c:pt idx="31">
                  <c:v>25.2</c:v>
                </c:pt>
                <c:pt idx="32">
                  <c:v>25.316666666666666</c:v>
                </c:pt>
                <c:pt idx="33">
                  <c:v>24.916666666666668</c:v>
                </c:pt>
                <c:pt idx="34">
                  <c:v>29.633333333333333</c:v>
                </c:pt>
                <c:pt idx="35">
                  <c:v>23.333333333333336</c:v>
                </c:pt>
                <c:pt idx="36">
                  <c:v>30</c:v>
                </c:pt>
                <c:pt idx="37">
                  <c:v>26.666666666666668</c:v>
                </c:pt>
                <c:pt idx="38">
                  <c:v>24.45</c:v>
                </c:pt>
                <c:pt idx="39">
                  <c:v>33.333333333333336</c:v>
                </c:pt>
                <c:pt idx="40">
                  <c:v>20.833333333333332</c:v>
                </c:pt>
                <c:pt idx="41">
                  <c:v>31.06666666666667</c:v>
                </c:pt>
                <c:pt idx="42">
                  <c:v>24.975</c:v>
                </c:pt>
                <c:pt idx="43">
                  <c:v>24.2</c:v>
                </c:pt>
                <c:pt idx="44">
                  <c:v>27.85833333333333</c:v>
                </c:pt>
                <c:pt idx="45">
                  <c:v>26.616666666666667</c:v>
                </c:pt>
                <c:pt idx="46">
                  <c:v>29.666666666666664</c:v>
                </c:pt>
                <c:pt idx="47">
                  <c:v>26.283333333333335</c:v>
                </c:pt>
                <c:pt idx="48">
                  <c:v>28.325</c:v>
                </c:pt>
                <c:pt idx="49">
                  <c:v>36.983333333333334</c:v>
                </c:pt>
                <c:pt idx="50">
                  <c:v>26.625</c:v>
                </c:pt>
                <c:pt idx="51">
                  <c:v>21.841666666666665</c:v>
                </c:pt>
                <c:pt idx="52">
                  <c:v>20.766666666666666</c:v>
                </c:pt>
                <c:pt idx="53">
                  <c:v>17.508333333333333</c:v>
                </c:pt>
                <c:pt idx="54">
                  <c:v>22.316666666666666</c:v>
                </c:pt>
                <c:pt idx="55">
                  <c:v>24.408333333333335</c:v>
                </c:pt>
                <c:pt idx="56">
                  <c:v>15.966666666666667</c:v>
                </c:pt>
                <c:pt idx="57">
                  <c:v>29.683333333333337</c:v>
                </c:pt>
                <c:pt idx="58">
                  <c:v>28.608333333333334</c:v>
                </c:pt>
                <c:pt idx="59">
                  <c:v>34.95</c:v>
                </c:pt>
                <c:pt idx="60">
                  <c:v>29.566666666666666</c:v>
                </c:pt>
                <c:pt idx="61">
                  <c:v>29.791666666666664</c:v>
                </c:pt>
                <c:pt idx="62">
                  <c:v>22.974999999999998</c:v>
                </c:pt>
                <c:pt idx="63">
                  <c:v>29.808333333333337</c:v>
                </c:pt>
                <c:pt idx="64">
                  <c:v>30.291666666666664</c:v>
                </c:pt>
                <c:pt idx="65">
                  <c:v>25.5</c:v>
                </c:pt>
                <c:pt idx="66">
                  <c:v>30.416666666666664</c:v>
                </c:pt>
                <c:pt idx="67">
                  <c:v>25.05</c:v>
                </c:pt>
                <c:pt idx="68">
                  <c:v>29.041666666666664</c:v>
                </c:pt>
                <c:pt idx="69">
                  <c:v>28.866666666666667</c:v>
                </c:pt>
                <c:pt idx="70">
                  <c:v>29.40833333333333</c:v>
                </c:pt>
                <c:pt idx="71">
                  <c:v>25.983333333333334</c:v>
                </c:pt>
                <c:pt idx="72">
                  <c:v>28.041666666666668</c:v>
                </c:pt>
                <c:pt idx="73">
                  <c:v>18.475</c:v>
                </c:pt>
                <c:pt idx="74">
                  <c:v>30.091666666666665</c:v>
                </c:pt>
                <c:pt idx="75">
                  <c:v>30.583333333333332</c:v>
                </c:pt>
                <c:pt idx="76">
                  <c:v>29.65833333333333</c:v>
                </c:pt>
                <c:pt idx="77">
                  <c:v>29.28333333333333</c:v>
                </c:pt>
                <c:pt idx="78">
                  <c:v>21.941666666666666</c:v>
                </c:pt>
                <c:pt idx="79">
                  <c:v>22.750000000000004</c:v>
                </c:pt>
                <c:pt idx="80">
                  <c:v>15.600000000000001</c:v>
                </c:pt>
                <c:pt idx="81">
                  <c:v>15.808333333333334</c:v>
                </c:pt>
                <c:pt idx="82">
                  <c:v>23.375000000000004</c:v>
                </c:pt>
                <c:pt idx="83">
                  <c:v>22.599999999999998</c:v>
                </c:pt>
                <c:pt idx="84">
                  <c:v>36.18333333333333</c:v>
                </c:pt>
                <c:pt idx="85">
                  <c:v>34.50833333333333</c:v>
                </c:pt>
                <c:pt idx="86">
                  <c:v>25.483333333333334</c:v>
                </c:pt>
                <c:pt idx="87">
                  <c:v>35.766666666666666</c:v>
                </c:pt>
                <c:pt idx="88">
                  <c:v>37.06666666666666</c:v>
                </c:pt>
                <c:pt idx="89">
                  <c:v>23.675</c:v>
                </c:pt>
                <c:pt idx="90">
                  <c:v>18.933333333333334</c:v>
                </c:pt>
                <c:pt idx="91">
                  <c:v>20.491666666666667</c:v>
                </c:pt>
                <c:pt idx="92">
                  <c:v>32.75</c:v>
                </c:pt>
                <c:pt idx="93">
                  <c:v>20.241666666666667</c:v>
                </c:pt>
                <c:pt idx="94">
                  <c:v>30.575000000000003</c:v>
                </c:pt>
                <c:pt idx="95">
                  <c:v>22.583333333333332</c:v>
                </c:pt>
                <c:pt idx="96">
                  <c:v>22.625000000000004</c:v>
                </c:pt>
              </c:numCache>
            </c:numRef>
          </c:val>
          <c:smooth val="0"/>
        </c:ser>
        <c:marker val="1"/>
        <c:axId val="56356994"/>
        <c:axId val="37450899"/>
      </c:lineChart>
      <c:dateAx>
        <c:axId val="56356994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5089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745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Mn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9"/>
          <c:y val="0.1595"/>
          <c:w val="0.0897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13772"/>
        <c:axId val="13623949"/>
      </c:lineChart>
      <c:catAx>
        <c:axId val="151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Mn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07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data'!$AF$8:$AF$104</c:f>
              <c:numCache>
                <c:ptCount val="97"/>
                <c:pt idx="0">
                  <c:v>0.07272727272727272</c:v>
                </c:pt>
                <c:pt idx="1">
                  <c:v>0.07272727272727272</c:v>
                </c:pt>
                <c:pt idx="2">
                  <c:v>0.09818181818181818</c:v>
                </c:pt>
                <c:pt idx="3">
                  <c:v>0.07272727272727272</c:v>
                </c:pt>
                <c:pt idx="4">
                  <c:v>0.07272727272727272</c:v>
                </c:pt>
                <c:pt idx="5">
                  <c:v>0.08727272727272727</c:v>
                </c:pt>
                <c:pt idx="6">
                  <c:v>0.07272727272727272</c:v>
                </c:pt>
                <c:pt idx="7">
                  <c:v>0.07272727272727272</c:v>
                </c:pt>
                <c:pt idx="8">
                  <c:v>0.07272727272727272</c:v>
                </c:pt>
                <c:pt idx="9">
                  <c:v>0.07272727272727272</c:v>
                </c:pt>
                <c:pt idx="10">
                  <c:v>0.07272727272727272</c:v>
                </c:pt>
                <c:pt idx="11">
                  <c:v>0.07272727272727272</c:v>
                </c:pt>
                <c:pt idx="12">
                  <c:v>0.07272727272727272</c:v>
                </c:pt>
                <c:pt idx="13">
                  <c:v>0.07272727272727272</c:v>
                </c:pt>
                <c:pt idx="14">
                  <c:v>0.07272727272727272</c:v>
                </c:pt>
                <c:pt idx="15">
                  <c:v>0.07272727272727272</c:v>
                </c:pt>
                <c:pt idx="16">
                  <c:v>0.07272727272727272</c:v>
                </c:pt>
                <c:pt idx="17">
                  <c:v>0.07272727272727272</c:v>
                </c:pt>
                <c:pt idx="18">
                  <c:v>0.07272727272727272</c:v>
                </c:pt>
                <c:pt idx="19">
                  <c:v>0.07272727272727272</c:v>
                </c:pt>
                <c:pt idx="20">
                  <c:v>0.07272727272727272</c:v>
                </c:pt>
                <c:pt idx="21">
                  <c:v>0.07272727272727272</c:v>
                </c:pt>
                <c:pt idx="22">
                  <c:v>0.07272727272727272</c:v>
                </c:pt>
                <c:pt idx="23">
                  <c:v>0.07272727272727272</c:v>
                </c:pt>
                <c:pt idx="24">
                  <c:v>0.07272727272727272</c:v>
                </c:pt>
                <c:pt idx="25">
                  <c:v>0.07272727272727272</c:v>
                </c:pt>
                <c:pt idx="26">
                  <c:v>0.07272727272727272</c:v>
                </c:pt>
                <c:pt idx="27">
                  <c:v>0.07272727272727272</c:v>
                </c:pt>
                <c:pt idx="28">
                  <c:v>0.07272727272727272</c:v>
                </c:pt>
                <c:pt idx="29">
                  <c:v>0.07272727272727272</c:v>
                </c:pt>
                <c:pt idx="30">
                  <c:v>0.07272727272727272</c:v>
                </c:pt>
                <c:pt idx="31">
                  <c:v>0.07272727272727272</c:v>
                </c:pt>
                <c:pt idx="32">
                  <c:v>0.07272727272727272</c:v>
                </c:pt>
                <c:pt idx="33">
                  <c:v>0.07272727272727272</c:v>
                </c:pt>
                <c:pt idx="34">
                  <c:v>0.07272727272727272</c:v>
                </c:pt>
                <c:pt idx="35">
                  <c:v>0.07272727272727272</c:v>
                </c:pt>
                <c:pt idx="36">
                  <c:v>0.07272727272727272</c:v>
                </c:pt>
                <c:pt idx="37">
                  <c:v>0.07272727272727272</c:v>
                </c:pt>
                <c:pt idx="38">
                  <c:v>0.07272727272727272</c:v>
                </c:pt>
                <c:pt idx="39">
                  <c:v>0.07272727272727272</c:v>
                </c:pt>
                <c:pt idx="40">
                  <c:v>0.07272727272727272</c:v>
                </c:pt>
                <c:pt idx="41">
                  <c:v>0.07272727272727272</c:v>
                </c:pt>
                <c:pt idx="42">
                  <c:v>0.07272727272727272</c:v>
                </c:pt>
                <c:pt idx="43">
                  <c:v>0.07272727272727272</c:v>
                </c:pt>
                <c:pt idx="44">
                  <c:v>0.07272727272727272</c:v>
                </c:pt>
                <c:pt idx="45">
                  <c:v>0.07272727272727272</c:v>
                </c:pt>
                <c:pt idx="46">
                  <c:v>0.07272727272727272</c:v>
                </c:pt>
                <c:pt idx="47">
                  <c:v>0.07272727272727272</c:v>
                </c:pt>
                <c:pt idx="48">
                  <c:v>0.07272727272727272</c:v>
                </c:pt>
                <c:pt idx="49">
                  <c:v>0.07272727272727272</c:v>
                </c:pt>
                <c:pt idx="50">
                  <c:v>0.07272727272727272</c:v>
                </c:pt>
                <c:pt idx="51">
                  <c:v>0.07272727272727272</c:v>
                </c:pt>
                <c:pt idx="52">
                  <c:v>0.07272727272727272</c:v>
                </c:pt>
                <c:pt idx="53">
                  <c:v>0.07272727272727272</c:v>
                </c:pt>
                <c:pt idx="54">
                  <c:v>0.07272727272727272</c:v>
                </c:pt>
                <c:pt idx="55">
                  <c:v>0.07272727272727272</c:v>
                </c:pt>
                <c:pt idx="56">
                  <c:v>0.07272727272727272</c:v>
                </c:pt>
                <c:pt idx="57">
                  <c:v>0.07272727272727272</c:v>
                </c:pt>
                <c:pt idx="58">
                  <c:v>0.07272727272727272</c:v>
                </c:pt>
                <c:pt idx="59">
                  <c:v>0.07272727272727272</c:v>
                </c:pt>
                <c:pt idx="60">
                  <c:v>0.08741818181818181</c:v>
                </c:pt>
                <c:pt idx="61">
                  <c:v>0.08472727272727273</c:v>
                </c:pt>
                <c:pt idx="62">
                  <c:v>0.09119999999999999</c:v>
                </c:pt>
                <c:pt idx="63">
                  <c:v>0.08130909090909091</c:v>
                </c:pt>
                <c:pt idx="64">
                  <c:v>0.08887272727272727</c:v>
                </c:pt>
                <c:pt idx="65">
                  <c:v>0.08738181818181819</c:v>
                </c:pt>
                <c:pt idx="66">
                  <c:v>0.09458181818181817</c:v>
                </c:pt>
                <c:pt idx="67">
                  <c:v>0.10727272727272727</c:v>
                </c:pt>
                <c:pt idx="68">
                  <c:v>0.07272727272727272</c:v>
                </c:pt>
                <c:pt idx="69">
                  <c:v>0.10814545454545456</c:v>
                </c:pt>
                <c:pt idx="70">
                  <c:v>0.07687272727272727</c:v>
                </c:pt>
                <c:pt idx="71">
                  <c:v>0.07272727272727272</c:v>
                </c:pt>
                <c:pt idx="72">
                  <c:v>0.08290909090909092</c:v>
                </c:pt>
                <c:pt idx="73">
                  <c:v>0.07349090909090908</c:v>
                </c:pt>
                <c:pt idx="74">
                  <c:v>0.07272727272727272</c:v>
                </c:pt>
                <c:pt idx="75">
                  <c:v>0.10512727272727274</c:v>
                </c:pt>
                <c:pt idx="76">
                  <c:v>0.07272727272727272</c:v>
                </c:pt>
                <c:pt idx="77">
                  <c:v>0.08185454545454546</c:v>
                </c:pt>
                <c:pt idx="78">
                  <c:v>0.08498181818181819</c:v>
                </c:pt>
                <c:pt idx="79">
                  <c:v>0.07272727272727272</c:v>
                </c:pt>
                <c:pt idx="80">
                  <c:v>0.08650909090909091</c:v>
                </c:pt>
                <c:pt idx="81">
                  <c:v>0.08258181818181819</c:v>
                </c:pt>
                <c:pt idx="82">
                  <c:v>0.10785454545454545</c:v>
                </c:pt>
                <c:pt idx="83">
                  <c:v>0.07272727272727272</c:v>
                </c:pt>
                <c:pt idx="84">
                  <c:v>0.26334545454545455</c:v>
                </c:pt>
                <c:pt idx="85">
                  <c:v>0.0830909090909091</c:v>
                </c:pt>
                <c:pt idx="86">
                  <c:v>0.184</c:v>
                </c:pt>
                <c:pt idx="87">
                  <c:v>0.09167272727272727</c:v>
                </c:pt>
                <c:pt idx="88">
                  <c:v>0.07272727272727272</c:v>
                </c:pt>
                <c:pt idx="89">
                  <c:v>0.07272727272727272</c:v>
                </c:pt>
                <c:pt idx="90">
                  <c:v>0.07610909090909089</c:v>
                </c:pt>
                <c:pt idx="91">
                  <c:v>0.10349090909090909</c:v>
                </c:pt>
                <c:pt idx="92">
                  <c:v>0.08458181818181817</c:v>
                </c:pt>
                <c:pt idx="93">
                  <c:v>0.10887272727272729</c:v>
                </c:pt>
                <c:pt idx="94">
                  <c:v>0.11065454545454546</c:v>
                </c:pt>
                <c:pt idx="95">
                  <c:v>0.07389090909090909</c:v>
                </c:pt>
                <c:pt idx="96">
                  <c:v>0.08130909090909091</c:v>
                </c:pt>
              </c:numCache>
            </c:numRef>
          </c:val>
          <c:smooth val="0"/>
        </c:ser>
        <c:marker val="1"/>
        <c:axId val="55506678"/>
        <c:axId val="29798055"/>
      </c:lineChart>
      <c:dateAx>
        <c:axId val="5550667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8055"/>
        <c:crosses val="autoZero"/>
        <c:auto val="0"/>
        <c:baseTimeUnit val="days"/>
        <c:majorUnit val="1"/>
        <c:majorTimeUnit val="years"/>
        <c:minorUnit val="1"/>
        <c:minorTimeUnit val="months"/>
        <c:noMultiLvlLbl val="0"/>
      </c:dateAx>
      <c:valAx>
        <c:axId val="29798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06678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Alkalinity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data'!$BR$8:$BR$104</c:f>
              <c:numCache>
                <c:ptCount val="97"/>
                <c:pt idx="0">
                  <c:v>30.433916491479522</c:v>
                </c:pt>
                <c:pt idx="1">
                  <c:v>58.52011008918619</c:v>
                </c:pt>
                <c:pt idx="2">
                  <c:v>65.31764862239211</c:v>
                </c:pt>
                <c:pt idx="3">
                  <c:v>45.56936514572385</c:v>
                </c:pt>
                <c:pt idx="4">
                  <c:v>54.16364747571271</c:v>
                </c:pt>
                <c:pt idx="5">
                  <c:v>49.09721372830069</c:v>
                </c:pt>
                <c:pt idx="6">
                  <c:v>-14.491708472686739</c:v>
                </c:pt>
                <c:pt idx="7">
                  <c:v>27.82994027711422</c:v>
                </c:pt>
                <c:pt idx="8">
                  <c:v>32.43248526835487</c:v>
                </c:pt>
                <c:pt idx="9">
                  <c:v>19.204752906513818</c:v>
                </c:pt>
                <c:pt idx="10">
                  <c:v>16.673735069278536</c:v>
                </c:pt>
                <c:pt idx="11">
                  <c:v>22.644203495779607</c:v>
                </c:pt>
                <c:pt idx="12">
                  <c:v>33.88100991399904</c:v>
                </c:pt>
                <c:pt idx="13">
                  <c:v>42.81452026596594</c:v>
                </c:pt>
                <c:pt idx="14">
                  <c:v>52.669781860168825</c:v>
                </c:pt>
                <c:pt idx="15">
                  <c:v>43.22812275043795</c:v>
                </c:pt>
                <c:pt idx="16">
                  <c:v>54.08408237776716</c:v>
                </c:pt>
                <c:pt idx="17">
                  <c:v>40.56897834050005</c:v>
                </c:pt>
                <c:pt idx="18">
                  <c:v>37.823032449434606</c:v>
                </c:pt>
                <c:pt idx="19">
                  <c:v>64.6730947523491</c:v>
                </c:pt>
                <c:pt idx="20">
                  <c:v>59.34536161809203</c:v>
                </c:pt>
                <c:pt idx="21">
                  <c:v>61.243463569039676</c:v>
                </c:pt>
                <c:pt idx="22">
                  <c:v>61.94349462494027</c:v>
                </c:pt>
                <c:pt idx="23">
                  <c:v>51.774201106864155</c:v>
                </c:pt>
                <c:pt idx="24">
                  <c:v>45.156953734671106</c:v>
                </c:pt>
                <c:pt idx="25">
                  <c:v>45.06375756489889</c:v>
                </c:pt>
                <c:pt idx="26">
                  <c:v>28.25181569517443</c:v>
                </c:pt>
                <c:pt idx="27">
                  <c:v>32.78282150820195</c:v>
                </c:pt>
                <c:pt idx="28">
                  <c:v>42.70690356744706</c:v>
                </c:pt>
                <c:pt idx="29">
                  <c:v>64.74417881032014</c:v>
                </c:pt>
                <c:pt idx="30">
                  <c:v>33.10891861761431</c:v>
                </c:pt>
                <c:pt idx="31">
                  <c:v>46.25484989648032</c:v>
                </c:pt>
                <c:pt idx="32">
                  <c:v>46.98043518076126</c:v>
                </c:pt>
                <c:pt idx="33">
                  <c:v>45.66694179009397</c:v>
                </c:pt>
                <c:pt idx="34">
                  <c:v>37.49773985706324</c:v>
                </c:pt>
                <c:pt idx="35">
                  <c:v>51.520650183150195</c:v>
                </c:pt>
                <c:pt idx="36">
                  <c:v>62.010817805383056</c:v>
                </c:pt>
                <c:pt idx="37">
                  <c:v>59.376194457716224</c:v>
                </c:pt>
                <c:pt idx="38">
                  <c:v>73.25704730052558</c:v>
                </c:pt>
                <c:pt idx="39">
                  <c:v>32.10392976588628</c:v>
                </c:pt>
                <c:pt idx="40">
                  <c:v>31.608848940914157</c:v>
                </c:pt>
                <c:pt idx="41">
                  <c:v>63.813139233954445</c:v>
                </c:pt>
                <c:pt idx="42">
                  <c:v>77.18786231884059</c:v>
                </c:pt>
                <c:pt idx="43">
                  <c:v>125.23762939958598</c:v>
                </c:pt>
                <c:pt idx="44">
                  <c:v>87.57513636725594</c:v>
                </c:pt>
                <c:pt idx="45">
                  <c:v>79.83452739289694</c:v>
                </c:pt>
                <c:pt idx="46">
                  <c:v>96.61168418537987</c:v>
                </c:pt>
                <c:pt idx="47">
                  <c:v>78.43289277751231</c:v>
                </c:pt>
                <c:pt idx="48">
                  <c:v>96.49126695134575</c:v>
                </c:pt>
                <c:pt idx="49">
                  <c:v>100.70406987577638</c:v>
                </c:pt>
                <c:pt idx="50">
                  <c:v>73.43880255613952</c:v>
                </c:pt>
                <c:pt idx="51">
                  <c:v>32.025389990444324</c:v>
                </c:pt>
                <c:pt idx="52">
                  <c:v>15.75530757286188</c:v>
                </c:pt>
                <c:pt idx="53">
                  <c:v>29.96111534480012</c:v>
                </c:pt>
                <c:pt idx="54">
                  <c:v>45.72456402293358</c:v>
                </c:pt>
                <c:pt idx="55">
                  <c:v>-4.119711578276764</c:v>
                </c:pt>
                <c:pt idx="56">
                  <c:v>28.94353280777193</c:v>
                </c:pt>
                <c:pt idx="57">
                  <c:v>56.60242995699954</c:v>
                </c:pt>
                <c:pt idx="58">
                  <c:v>77.14636566332214</c:v>
                </c:pt>
                <c:pt idx="59">
                  <c:v>136.81549291288422</c:v>
                </c:pt>
                <c:pt idx="60">
                  <c:v>117.78039700589264</c:v>
                </c:pt>
                <c:pt idx="61">
                  <c:v>96.91643737856349</c:v>
                </c:pt>
                <c:pt idx="62">
                  <c:v>-43.4628151377608</c:v>
                </c:pt>
                <c:pt idx="63">
                  <c:v>65.89502886606147</c:v>
                </c:pt>
                <c:pt idx="64">
                  <c:v>54.904734193342875</c:v>
                </c:pt>
                <c:pt idx="65">
                  <c:v>136.97305840898235</c:v>
                </c:pt>
                <c:pt idx="66">
                  <c:v>67.94342451027231</c:v>
                </c:pt>
                <c:pt idx="67">
                  <c:v>73.3821713330148</c:v>
                </c:pt>
                <c:pt idx="68">
                  <c:v>102.13645186335405</c:v>
                </c:pt>
                <c:pt idx="69">
                  <c:v>90.30262482083134</c:v>
                </c:pt>
                <c:pt idx="70">
                  <c:v>94.82808341296385</c:v>
                </c:pt>
                <c:pt idx="71">
                  <c:v>70.80204707756013</c:v>
                </c:pt>
                <c:pt idx="72">
                  <c:v>86.04698041089344</c:v>
                </c:pt>
                <c:pt idx="73">
                  <c:v>48.998120719859884</c:v>
                </c:pt>
                <c:pt idx="74">
                  <c:v>90.54141583054627</c:v>
                </c:pt>
                <c:pt idx="75">
                  <c:v>95.30585100334447</c:v>
                </c:pt>
                <c:pt idx="76">
                  <c:v>90.42444796145881</c:v>
                </c:pt>
                <c:pt idx="77">
                  <c:v>93.38690068482242</c:v>
                </c:pt>
                <c:pt idx="78">
                  <c:v>60.077984949832796</c:v>
                </c:pt>
                <c:pt idx="79">
                  <c:v>59.1968375537506</c:v>
                </c:pt>
                <c:pt idx="80">
                  <c:v>56.359944019748355</c:v>
                </c:pt>
                <c:pt idx="81">
                  <c:v>57.4703165312948</c:v>
                </c:pt>
                <c:pt idx="82">
                  <c:v>52.82668796782926</c:v>
                </c:pt>
                <c:pt idx="83">
                  <c:v>60.89463827838827</c:v>
                </c:pt>
                <c:pt idx="84">
                  <c:v>102.02611829112918</c:v>
                </c:pt>
                <c:pt idx="85">
                  <c:v>125.63898600891862</c:v>
                </c:pt>
                <c:pt idx="86">
                  <c:v>96.6872557732123</c:v>
                </c:pt>
                <c:pt idx="87">
                  <c:v>159.64375617136483</c:v>
                </c:pt>
                <c:pt idx="88">
                  <c:v>112.47789655996176</c:v>
                </c:pt>
                <c:pt idx="89">
                  <c:v>53.672238413760155</c:v>
                </c:pt>
                <c:pt idx="90">
                  <c:v>21.518782170727818</c:v>
                </c:pt>
                <c:pt idx="91">
                  <c:v>34.62894051600573</c:v>
                </c:pt>
                <c:pt idx="92">
                  <c:v>113.56312689122475</c:v>
                </c:pt>
                <c:pt idx="93">
                  <c:v>45.355345914954626</c:v>
                </c:pt>
                <c:pt idx="94">
                  <c:v>9.550025879917172</c:v>
                </c:pt>
                <c:pt idx="95">
                  <c:v>38.09593864468866</c:v>
                </c:pt>
                <c:pt idx="96">
                  <c:v>69.22945672081542</c:v>
                </c:pt>
              </c:numCache>
            </c:numRef>
          </c:val>
          <c:smooth val="0"/>
        </c:ser>
        <c:marker val="1"/>
        <c:axId val="42395020"/>
        <c:axId val="46010861"/>
      </c:lineChart>
      <c:dateAx>
        <c:axId val="4239502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086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601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Na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95"/>
          <c:w val="0.0897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855904"/>
        <c:axId val="64832225"/>
      </c:lineChart>
      <c:catAx>
        <c:axId val="66855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Na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data'!$AO$8:$AO$104</c:f>
              <c:numCache>
                <c:ptCount val="97"/>
                <c:pt idx="0">
                  <c:v>112.43478260869564</c:v>
                </c:pt>
                <c:pt idx="1">
                  <c:v>122.86956521739131</c:v>
                </c:pt>
                <c:pt idx="2">
                  <c:v>108.78260869565216</c:v>
                </c:pt>
                <c:pt idx="3">
                  <c:v>110.95652173913044</c:v>
                </c:pt>
                <c:pt idx="4">
                  <c:v>116.17391304347827</c:v>
                </c:pt>
                <c:pt idx="5">
                  <c:v>116.56521739130434</c:v>
                </c:pt>
                <c:pt idx="6">
                  <c:v>92.39130434782608</c:v>
                </c:pt>
                <c:pt idx="7">
                  <c:v>131.1304347826087</c:v>
                </c:pt>
                <c:pt idx="8">
                  <c:v>125.65217391304348</c:v>
                </c:pt>
                <c:pt idx="9">
                  <c:v>167.69565217391306</c:v>
                </c:pt>
                <c:pt idx="10">
                  <c:v>102.78260869565217</c:v>
                </c:pt>
                <c:pt idx="11">
                  <c:v>116.86956521739131</c:v>
                </c:pt>
                <c:pt idx="12">
                  <c:v>122.30434782608697</c:v>
                </c:pt>
                <c:pt idx="13">
                  <c:v>118.52173913043478</c:v>
                </c:pt>
                <c:pt idx="14">
                  <c:v>120.56521739130436</c:v>
                </c:pt>
                <c:pt idx="15">
                  <c:v>110.17391304347825</c:v>
                </c:pt>
                <c:pt idx="16">
                  <c:v>108.82608695652173</c:v>
                </c:pt>
                <c:pt idx="17">
                  <c:v>121.39130434782608</c:v>
                </c:pt>
                <c:pt idx="18">
                  <c:v>122.7391304347826</c:v>
                </c:pt>
                <c:pt idx="19">
                  <c:v>126.4782608695652</c:v>
                </c:pt>
                <c:pt idx="20">
                  <c:v>128.34782608695653</c:v>
                </c:pt>
                <c:pt idx="21">
                  <c:v>123.86956521739131</c:v>
                </c:pt>
                <c:pt idx="22">
                  <c:v>123.5217391304348</c:v>
                </c:pt>
                <c:pt idx="23">
                  <c:v>124.43478260869566</c:v>
                </c:pt>
                <c:pt idx="24">
                  <c:v>114.91304347826086</c:v>
                </c:pt>
                <c:pt idx="25">
                  <c:v>113.04347826086956</c:v>
                </c:pt>
                <c:pt idx="26">
                  <c:v>118.95652173913045</c:v>
                </c:pt>
                <c:pt idx="27">
                  <c:v>120.34782608695652</c:v>
                </c:pt>
                <c:pt idx="28">
                  <c:v>135.7826086956522</c:v>
                </c:pt>
                <c:pt idx="29">
                  <c:v>135.04347826086956</c:v>
                </c:pt>
                <c:pt idx="30">
                  <c:v>109.5217391304348</c:v>
                </c:pt>
                <c:pt idx="31">
                  <c:v>108.34782608695652</c:v>
                </c:pt>
                <c:pt idx="32">
                  <c:v>99.86956521739131</c:v>
                </c:pt>
                <c:pt idx="33">
                  <c:v>106.73913043478261</c:v>
                </c:pt>
                <c:pt idx="34">
                  <c:v>108.69565217391305</c:v>
                </c:pt>
                <c:pt idx="35">
                  <c:v>120</c:v>
                </c:pt>
                <c:pt idx="36">
                  <c:v>102.17391304347827</c:v>
                </c:pt>
                <c:pt idx="37">
                  <c:v>117.3913043478261</c:v>
                </c:pt>
                <c:pt idx="38">
                  <c:v>134.60869565217394</c:v>
                </c:pt>
                <c:pt idx="39">
                  <c:v>125.21739130434781</c:v>
                </c:pt>
                <c:pt idx="40">
                  <c:v>122.17391304347825</c:v>
                </c:pt>
                <c:pt idx="41">
                  <c:v>155.17391304347825</c:v>
                </c:pt>
                <c:pt idx="42">
                  <c:v>156.6086956521739</c:v>
                </c:pt>
                <c:pt idx="43">
                  <c:v>192.21739130434784</c:v>
                </c:pt>
                <c:pt idx="44">
                  <c:v>147.65217391304347</c:v>
                </c:pt>
                <c:pt idx="45">
                  <c:v>149.65217391304347</c:v>
                </c:pt>
                <c:pt idx="46">
                  <c:v>129.5217391304348</c:v>
                </c:pt>
                <c:pt idx="47">
                  <c:v>133.65217391304347</c:v>
                </c:pt>
                <c:pt idx="48">
                  <c:v>152.04347826086956</c:v>
                </c:pt>
                <c:pt idx="49">
                  <c:v>143.2173913043478</c:v>
                </c:pt>
                <c:pt idx="50">
                  <c:v>131.56521739130434</c:v>
                </c:pt>
                <c:pt idx="51">
                  <c:v>108.47826086956522</c:v>
                </c:pt>
                <c:pt idx="52">
                  <c:v>109.4782608695652</c:v>
                </c:pt>
                <c:pt idx="53">
                  <c:v>106.82608695652173</c:v>
                </c:pt>
                <c:pt idx="54">
                  <c:v>118.65217391304348</c:v>
                </c:pt>
                <c:pt idx="55">
                  <c:v>124.82608695652173</c:v>
                </c:pt>
                <c:pt idx="56">
                  <c:v>109.30434782608694</c:v>
                </c:pt>
                <c:pt idx="57">
                  <c:v>121.65217391304347</c:v>
                </c:pt>
                <c:pt idx="58">
                  <c:v>128.2173913043478</c:v>
                </c:pt>
                <c:pt idx="59">
                  <c:v>161.04347826086956</c:v>
                </c:pt>
                <c:pt idx="60">
                  <c:v>158.52173913043478</c:v>
                </c:pt>
                <c:pt idx="61">
                  <c:v>139.8695652173913</c:v>
                </c:pt>
                <c:pt idx="62">
                  <c:v>116.47826086956522</c:v>
                </c:pt>
                <c:pt idx="63">
                  <c:v>133.08695652173913</c:v>
                </c:pt>
                <c:pt idx="64">
                  <c:v>133.95652173913044</c:v>
                </c:pt>
                <c:pt idx="65">
                  <c:v>125.13043478260872</c:v>
                </c:pt>
                <c:pt idx="66">
                  <c:v>140.26086956521738</c:v>
                </c:pt>
                <c:pt idx="67">
                  <c:v>131.78260869565216</c:v>
                </c:pt>
                <c:pt idx="68">
                  <c:v>147.73913043478262</c:v>
                </c:pt>
                <c:pt idx="69">
                  <c:v>146.2173913043478</c:v>
                </c:pt>
                <c:pt idx="70">
                  <c:v>145.3478260869565</c:v>
                </c:pt>
                <c:pt idx="71">
                  <c:v>131.43478260869566</c:v>
                </c:pt>
                <c:pt idx="72">
                  <c:v>137.43478260869566</c:v>
                </c:pt>
                <c:pt idx="73">
                  <c:v>119.30434782608697</c:v>
                </c:pt>
                <c:pt idx="74">
                  <c:v>143.34782608695653</c:v>
                </c:pt>
                <c:pt idx="75">
                  <c:v>139.7826086956522</c:v>
                </c:pt>
                <c:pt idx="76">
                  <c:v>144.69565217391303</c:v>
                </c:pt>
                <c:pt idx="77">
                  <c:v>146.39130434782606</c:v>
                </c:pt>
                <c:pt idx="78">
                  <c:v>127.2608695652174</c:v>
                </c:pt>
                <c:pt idx="79">
                  <c:v>118.43478260869567</c:v>
                </c:pt>
                <c:pt idx="80">
                  <c:v>92.4782608695652</c:v>
                </c:pt>
                <c:pt idx="81">
                  <c:v>78.60869565217392</c:v>
                </c:pt>
                <c:pt idx="82">
                  <c:v>115.04347826086956</c:v>
                </c:pt>
                <c:pt idx="83">
                  <c:v>109</c:v>
                </c:pt>
                <c:pt idx="84">
                  <c:v>97.69565217391305</c:v>
                </c:pt>
                <c:pt idx="85">
                  <c:v>165.08695652173913</c:v>
                </c:pt>
                <c:pt idx="86">
                  <c:v>103.21739130434783</c:v>
                </c:pt>
                <c:pt idx="87">
                  <c:v>178.95652173913044</c:v>
                </c:pt>
                <c:pt idx="88">
                  <c:v>161.17391304347825</c:v>
                </c:pt>
                <c:pt idx="89">
                  <c:v>108.39130434782608</c:v>
                </c:pt>
                <c:pt idx="90">
                  <c:v>93.52173913043478</c:v>
                </c:pt>
                <c:pt idx="91">
                  <c:v>98.17391304347827</c:v>
                </c:pt>
                <c:pt idx="92">
                  <c:v>153.2608695652174</c:v>
                </c:pt>
                <c:pt idx="93">
                  <c:v>93.95652173913044</c:v>
                </c:pt>
                <c:pt idx="94">
                  <c:v>102.04347826086956</c:v>
                </c:pt>
                <c:pt idx="95">
                  <c:v>103.00000000000001</c:v>
                </c:pt>
                <c:pt idx="96">
                  <c:v>127.95652173913044</c:v>
                </c:pt>
              </c:numCache>
            </c:numRef>
          </c:val>
          <c:smooth val="0"/>
        </c:ser>
        <c:marker val="1"/>
        <c:axId val="46619114"/>
        <c:axId val="16918843"/>
      </c:lineChart>
      <c:dateAx>
        <c:axId val="46619114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84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691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Na:Cl ratio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5"/>
          <c:y val="0.199"/>
          <c:w val="0.08925"/>
          <c:h val="0.77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051860"/>
        <c:axId val="28249013"/>
      </c:lineChart>
      <c:catAx>
        <c:axId val="180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Na:Cl ratio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1860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Na:Cl Ratio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855"/>
          <c:w val="0.939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data'!$BS$8:$BS$104</c:f>
              <c:numCache>
                <c:ptCount val="97"/>
                <c:pt idx="0">
                  <c:v>1.6081803805902521</c:v>
                </c:pt>
                <c:pt idx="1">
                  <c:v>1.6778910583724915</c:v>
                </c:pt>
                <c:pt idx="2">
                  <c:v>1.3206352078903316</c:v>
                </c:pt>
                <c:pt idx="3">
                  <c:v>1.3919276920679446</c:v>
                </c:pt>
                <c:pt idx="4">
                  <c:v>1.4631475194392731</c:v>
                </c:pt>
                <c:pt idx="5">
                  <c:v>1.4015055337326183</c:v>
                </c:pt>
                <c:pt idx="6">
                  <c:v>0.9098749724743704</c:v>
                </c:pt>
                <c:pt idx="7">
                  <c:v>1.0385981483121305</c:v>
                </c:pt>
                <c:pt idx="8">
                  <c:v>1.1299655927431969</c:v>
                </c:pt>
                <c:pt idx="9">
                  <c:v>0.9123811326110614</c:v>
                </c:pt>
                <c:pt idx="10">
                  <c:v>1.1630751064816767</c:v>
                </c:pt>
                <c:pt idx="11">
                  <c:v>0.927536231884058</c:v>
                </c:pt>
                <c:pt idx="12">
                  <c:v>1.1556836322659405</c:v>
                </c:pt>
                <c:pt idx="13">
                  <c:v>1.2460981885146343</c:v>
                </c:pt>
                <c:pt idx="14">
                  <c:v>1.429465653352186</c:v>
                </c:pt>
                <c:pt idx="15">
                  <c:v>1.214133172708356</c:v>
                </c:pt>
                <c:pt idx="16">
                  <c:v>1.3411665646050215</c:v>
                </c:pt>
                <c:pt idx="17">
                  <c:v>1.2778032036613272</c:v>
                </c:pt>
                <c:pt idx="18">
                  <c:v>1.2653518601523979</c:v>
                </c:pt>
                <c:pt idx="19">
                  <c:v>1.5031372259540856</c:v>
                </c:pt>
                <c:pt idx="20">
                  <c:v>1.400303588853952</c:v>
                </c:pt>
                <c:pt idx="21">
                  <c:v>1.431781632301419</c:v>
                </c:pt>
                <c:pt idx="22">
                  <c:v>1.5276540175142113</c:v>
                </c:pt>
                <c:pt idx="23">
                  <c:v>1.3257891602144134</c:v>
                </c:pt>
                <c:pt idx="24">
                  <c:v>1.323012013729977</c:v>
                </c:pt>
                <c:pt idx="25">
                  <c:v>1.3752247963609439</c:v>
                </c:pt>
                <c:pt idx="26">
                  <c:v>1.1714907880893544</c:v>
                </c:pt>
                <c:pt idx="27">
                  <c:v>1.2399687703984335</c:v>
                </c:pt>
                <c:pt idx="28">
                  <c:v>1.3459052122197186</c:v>
                </c:pt>
                <c:pt idx="29">
                  <c:v>1.567149117748818</c:v>
                </c:pt>
                <c:pt idx="30">
                  <c:v>1.327306395278815</c:v>
                </c:pt>
                <c:pt idx="31">
                  <c:v>1.3640913356271507</c:v>
                </c:pt>
                <c:pt idx="32">
                  <c:v>1.39315854229123</c:v>
                </c:pt>
                <c:pt idx="33">
                  <c:v>1.4124270567929647</c:v>
                </c:pt>
                <c:pt idx="34">
                  <c:v>1.0580446947099702</c:v>
                </c:pt>
                <c:pt idx="35">
                  <c:v>1.4757554462403373</c:v>
                </c:pt>
                <c:pt idx="36">
                  <c:v>1.3353573400006493</c:v>
                </c:pt>
                <c:pt idx="37">
                  <c:v>1.483283628943651</c:v>
                </c:pt>
                <c:pt idx="38">
                  <c:v>1.8504730352812602</c:v>
                </c:pt>
                <c:pt idx="39">
                  <c:v>1.0392716850017012</c:v>
                </c:pt>
                <c:pt idx="40">
                  <c:v>1.1799356944044532</c:v>
                </c:pt>
                <c:pt idx="41">
                  <c:v>1.2912712687878598</c:v>
                </c:pt>
                <c:pt idx="42">
                  <c:v>1.566086956521739</c:v>
                </c:pt>
                <c:pt idx="43">
                  <c:v>2.103034915802493</c:v>
                </c:pt>
                <c:pt idx="44">
                  <c:v>1.6292011623444267</c:v>
                </c:pt>
                <c:pt idx="45">
                  <c:v>1.4952401047549304</c:v>
                </c:pt>
                <c:pt idx="46">
                  <c:v>1.8548530562869143</c:v>
                </c:pt>
                <c:pt idx="47">
                  <c:v>1.6396165744677607</c:v>
                </c:pt>
                <c:pt idx="48">
                  <c:v>1.7159280093931268</c:v>
                </c:pt>
                <c:pt idx="49">
                  <c:v>1.6031524075235946</c:v>
                </c:pt>
                <c:pt idx="50">
                  <c:v>1.6151464779711162</c:v>
                </c:pt>
                <c:pt idx="51">
                  <c:v>1.2588657594279784</c:v>
                </c:pt>
                <c:pt idx="52">
                  <c:v>1.0718151413803585</c:v>
                </c:pt>
                <c:pt idx="53">
                  <c:v>1.1918753724827098</c:v>
                </c:pt>
                <c:pt idx="54">
                  <c:v>1.3544768711534645</c:v>
                </c:pt>
                <c:pt idx="55">
                  <c:v>0.894902303047575</c:v>
                </c:pt>
                <c:pt idx="56">
                  <c:v>1.3030150456107095</c:v>
                </c:pt>
                <c:pt idx="57">
                  <c:v>1.3260124842592718</c:v>
                </c:pt>
                <c:pt idx="58">
                  <c:v>1.52639751552795</c:v>
                </c:pt>
                <c:pt idx="59">
                  <c:v>2.081433433947723</c:v>
                </c:pt>
                <c:pt idx="60">
                  <c:v>1.8244856526028337</c:v>
                </c:pt>
                <c:pt idx="61">
                  <c:v>1.6765187611673618</c:v>
                </c:pt>
                <c:pt idx="62">
                  <c:v>0.6922633945380849</c:v>
                </c:pt>
                <c:pt idx="63">
                  <c:v>1.2903167529808504</c:v>
                </c:pt>
                <c:pt idx="64">
                  <c:v>1.1987927028559358</c:v>
                </c:pt>
                <c:pt idx="65">
                  <c:v>10.813741277509394</c:v>
                </c:pt>
                <c:pt idx="66">
                  <c:v>1.3275095821478118</c:v>
                </c:pt>
                <c:pt idx="67">
                  <c:v>1.5747324357623167</c:v>
                </c:pt>
                <c:pt idx="68">
                  <c:v>1.911596881780921</c:v>
                </c:pt>
                <c:pt idx="69">
                  <c:v>1.7763306822812126</c:v>
                </c:pt>
                <c:pt idx="70">
                  <c:v>1.7180594100113062</c:v>
                </c:pt>
                <c:pt idx="71">
                  <c:v>1.5879245396287014</c:v>
                </c:pt>
                <c:pt idx="72">
                  <c:v>1.7173214535181534</c:v>
                </c:pt>
                <c:pt idx="73">
                  <c:v>1.5471108462071304</c:v>
                </c:pt>
                <c:pt idx="74">
                  <c:v>1.6696086233089777</c:v>
                </c:pt>
                <c:pt idx="75">
                  <c:v>1.7220666329981789</c:v>
                </c:pt>
                <c:pt idx="76">
                  <c:v>1.7086193745232645</c:v>
                </c:pt>
                <c:pt idx="77">
                  <c:v>1.8022144397375703</c:v>
                </c:pt>
                <c:pt idx="78">
                  <c:v>1.565049344617923</c:v>
                </c:pt>
                <c:pt idx="79">
                  <c:v>1.4725461425592712</c:v>
                </c:pt>
                <c:pt idx="80">
                  <c:v>1.8001886153697342</c:v>
                </c:pt>
                <c:pt idx="81">
                  <c:v>1.9822077433905527</c:v>
                </c:pt>
                <c:pt idx="82">
                  <c:v>1.490752217375207</c:v>
                </c:pt>
                <c:pt idx="83">
                  <c:v>1.597571189279732</c:v>
                </c:pt>
                <c:pt idx="84">
                  <c:v>1.456281016221021</c:v>
                </c:pt>
                <c:pt idx="85">
                  <c:v>1.90694504233032</c:v>
                </c:pt>
                <c:pt idx="86">
                  <c:v>2.500075221904619</c:v>
                </c:pt>
                <c:pt idx="87">
                  <c:v>2.666444555500027</c:v>
                </c:pt>
                <c:pt idx="88">
                  <c:v>2.0262524987506247</c:v>
                </c:pt>
                <c:pt idx="89">
                  <c:v>1.4529665462175079</c:v>
                </c:pt>
                <c:pt idx="90">
                  <c:v>1.177008583087097</c:v>
                </c:pt>
                <c:pt idx="91">
                  <c:v>1.2171756842089052</c:v>
                </c:pt>
                <c:pt idx="92">
                  <c:v>2.0234366030866124</c:v>
                </c:pt>
                <c:pt idx="93">
                  <c:v>1.3679194096795197</c:v>
                </c:pt>
                <c:pt idx="94">
                  <c:v>0.9838902862618276</c:v>
                </c:pt>
                <c:pt idx="95">
                  <c:v>1.3243938280675975</c:v>
                </c:pt>
                <c:pt idx="96">
                  <c:v>1.6309097818170304</c:v>
                </c:pt>
              </c:numCache>
            </c:numRef>
          </c:val>
          <c:smooth val="0"/>
        </c:ser>
        <c:marker val="1"/>
        <c:axId val="52914526"/>
        <c:axId val="6468687"/>
      </c:lineChart>
      <c:dateAx>
        <c:axId val="5291452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468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Na:Cl ratio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NH</a:t>
            </a:r>
            <a:r>
              <a:rPr lang="en-US" cap="none" sz="1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685"/>
          <c:w val="0.089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NH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955"/>
          <c:w val="0.92225"/>
          <c:h val="0.63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data'!$AI$8:$AI$104</c:f>
              <c:numCache>
                <c:ptCount val="97"/>
                <c:pt idx="0">
                  <c:v>1.614285714285714</c:v>
                </c:pt>
                <c:pt idx="1">
                  <c:v>1.8857142857142857</c:v>
                </c:pt>
                <c:pt idx="2">
                  <c:v>1.5714285714285712</c:v>
                </c:pt>
                <c:pt idx="3">
                  <c:v>1.3571428571428572</c:v>
                </c:pt>
                <c:pt idx="4">
                  <c:v>1.35</c:v>
                </c:pt>
                <c:pt idx="5">
                  <c:v>1.3142857142857143</c:v>
                </c:pt>
                <c:pt idx="6">
                  <c:v>1.392857142857143</c:v>
                </c:pt>
                <c:pt idx="7">
                  <c:v>1.3214285714285712</c:v>
                </c:pt>
                <c:pt idx="8">
                  <c:v>0.7857142857142856</c:v>
                </c:pt>
                <c:pt idx="9">
                  <c:v>0.7142857142857143</c:v>
                </c:pt>
                <c:pt idx="10">
                  <c:v>0.7142857142857143</c:v>
                </c:pt>
                <c:pt idx="11">
                  <c:v>0.7164285714285715</c:v>
                </c:pt>
                <c:pt idx="12">
                  <c:v>0.7142857142857143</c:v>
                </c:pt>
                <c:pt idx="13">
                  <c:v>0.7142857142857143</c:v>
                </c:pt>
                <c:pt idx="14">
                  <c:v>0.7142857142857143</c:v>
                </c:pt>
                <c:pt idx="15">
                  <c:v>0.7192857142857143</c:v>
                </c:pt>
                <c:pt idx="16">
                  <c:v>0.7207142857142856</c:v>
                </c:pt>
                <c:pt idx="17">
                  <c:v>0.7571428571428571</c:v>
                </c:pt>
                <c:pt idx="18">
                  <c:v>0.7185714285714285</c:v>
                </c:pt>
                <c:pt idx="19">
                  <c:v>0.7142857142857143</c:v>
                </c:pt>
                <c:pt idx="20">
                  <c:v>0.7171428571428572</c:v>
                </c:pt>
                <c:pt idx="21">
                  <c:v>0.7200000000000001</c:v>
                </c:pt>
                <c:pt idx="22">
                  <c:v>0.9357142857142857</c:v>
                </c:pt>
                <c:pt idx="23">
                  <c:v>0.7142857142857143</c:v>
                </c:pt>
                <c:pt idx="24">
                  <c:v>0.7142857142857143</c:v>
                </c:pt>
                <c:pt idx="25">
                  <c:v>4.2142857142857135</c:v>
                </c:pt>
                <c:pt idx="26">
                  <c:v>0.7142857142857143</c:v>
                </c:pt>
                <c:pt idx="27">
                  <c:v>1.55</c:v>
                </c:pt>
                <c:pt idx="28">
                  <c:v>0.7142857142857143</c:v>
                </c:pt>
                <c:pt idx="29">
                  <c:v>0.7142857142857143</c:v>
                </c:pt>
                <c:pt idx="30">
                  <c:v>1.8071428571428572</c:v>
                </c:pt>
                <c:pt idx="31">
                  <c:v>0.7142857142857143</c:v>
                </c:pt>
                <c:pt idx="32">
                  <c:v>14.714285714285714</c:v>
                </c:pt>
                <c:pt idx="33">
                  <c:v>0.7142857142857143</c:v>
                </c:pt>
                <c:pt idx="34">
                  <c:v>1</c:v>
                </c:pt>
                <c:pt idx="35">
                  <c:v>1.2857142857142856</c:v>
                </c:pt>
                <c:pt idx="36">
                  <c:v>0.7142857142857143</c:v>
                </c:pt>
                <c:pt idx="37">
                  <c:v>1</c:v>
                </c:pt>
                <c:pt idx="38">
                  <c:v>0.7142857142857143</c:v>
                </c:pt>
                <c:pt idx="39">
                  <c:v>0.7142857142857143</c:v>
                </c:pt>
                <c:pt idx="40">
                  <c:v>0.7142857142857143</c:v>
                </c:pt>
                <c:pt idx="41">
                  <c:v>0.7142857142857143</c:v>
                </c:pt>
                <c:pt idx="42">
                  <c:v>1.2142857142857144</c:v>
                </c:pt>
                <c:pt idx="43">
                  <c:v>0.7142857142857143</c:v>
                </c:pt>
                <c:pt idx="44">
                  <c:v>1.2857142857142856</c:v>
                </c:pt>
                <c:pt idx="45">
                  <c:v>8.428571428571427</c:v>
                </c:pt>
                <c:pt idx="46">
                  <c:v>0.7142857142857143</c:v>
                </c:pt>
                <c:pt idx="47">
                  <c:v>0.7142857142857143</c:v>
                </c:pt>
                <c:pt idx="48">
                  <c:v>0.7142857142857143</c:v>
                </c:pt>
                <c:pt idx="49">
                  <c:v>1.4285714285714286</c:v>
                </c:pt>
                <c:pt idx="50">
                  <c:v>1.142857142857143</c:v>
                </c:pt>
                <c:pt idx="51">
                  <c:v>0.7142857142857143</c:v>
                </c:pt>
                <c:pt idx="52">
                  <c:v>0.7142857142857143</c:v>
                </c:pt>
                <c:pt idx="53">
                  <c:v>0.7142857142857143</c:v>
                </c:pt>
                <c:pt idx="54">
                  <c:v>0.7142857142857143</c:v>
                </c:pt>
                <c:pt idx="55">
                  <c:v>0.7142857142857143</c:v>
                </c:pt>
                <c:pt idx="56">
                  <c:v>2.571428571428571</c:v>
                </c:pt>
                <c:pt idx="57">
                  <c:v>0.7142857142857143</c:v>
                </c:pt>
                <c:pt idx="58">
                  <c:v>1.5</c:v>
                </c:pt>
                <c:pt idx="59">
                  <c:v>0.9285714285714286</c:v>
                </c:pt>
                <c:pt idx="60">
                  <c:v>0.7142857142857143</c:v>
                </c:pt>
                <c:pt idx="61">
                  <c:v>0.7142857142857143</c:v>
                </c:pt>
                <c:pt idx="62">
                  <c:v>0.7142857142857143</c:v>
                </c:pt>
                <c:pt idx="63">
                  <c:v>0.7142857142857143</c:v>
                </c:pt>
                <c:pt idx="64">
                  <c:v>1.5</c:v>
                </c:pt>
                <c:pt idx="65">
                  <c:v>0.7142857142857143</c:v>
                </c:pt>
                <c:pt idx="66">
                  <c:v>0.7142857142857143</c:v>
                </c:pt>
                <c:pt idx="67">
                  <c:v>0.7142857142857143</c:v>
                </c:pt>
                <c:pt idx="68">
                  <c:v>0.7142857142857143</c:v>
                </c:pt>
                <c:pt idx="69">
                  <c:v>0.7142857142857143</c:v>
                </c:pt>
                <c:pt idx="70">
                  <c:v>0.7142857142857143</c:v>
                </c:pt>
                <c:pt idx="71">
                  <c:v>0.7142857142857143</c:v>
                </c:pt>
                <c:pt idx="72">
                  <c:v>1.2085714285714286</c:v>
                </c:pt>
                <c:pt idx="73">
                  <c:v>1.0714285714285714</c:v>
                </c:pt>
                <c:pt idx="74">
                  <c:v>1.0714285714285714</c:v>
                </c:pt>
                <c:pt idx="75">
                  <c:v>0.7142857142857143</c:v>
                </c:pt>
                <c:pt idx="76">
                  <c:v>0.7142857142857143</c:v>
                </c:pt>
                <c:pt idx="77">
                  <c:v>0.7142857142857143</c:v>
                </c:pt>
                <c:pt idx="78">
                  <c:v>0.7142857142857143</c:v>
                </c:pt>
                <c:pt idx="79">
                  <c:v>0.7142857142857143</c:v>
                </c:pt>
                <c:pt idx="80">
                  <c:v>0.7142857142857143</c:v>
                </c:pt>
                <c:pt idx="81">
                  <c:v>0.7142857142857143</c:v>
                </c:pt>
                <c:pt idx="82">
                  <c:v>0.7142857142857143</c:v>
                </c:pt>
                <c:pt idx="83">
                  <c:v>0.7142857142857143</c:v>
                </c:pt>
                <c:pt idx="84">
                  <c:v>0.7857142857142856</c:v>
                </c:pt>
                <c:pt idx="85">
                  <c:v>0.7857142857142856</c:v>
                </c:pt>
                <c:pt idx="86">
                  <c:v>0.7142857142857143</c:v>
                </c:pt>
                <c:pt idx="87">
                  <c:v>1.8571428571428572</c:v>
                </c:pt>
                <c:pt idx="88">
                  <c:v>0.7142857142857143</c:v>
                </c:pt>
                <c:pt idx="89">
                  <c:v>0.7142857142857143</c:v>
                </c:pt>
                <c:pt idx="90">
                  <c:v>0.7142857142857143</c:v>
                </c:pt>
                <c:pt idx="91">
                  <c:v>0.7142857142857143</c:v>
                </c:pt>
                <c:pt idx="92">
                  <c:v>0.7142857142857143</c:v>
                </c:pt>
                <c:pt idx="93">
                  <c:v>0.8571428571428572</c:v>
                </c:pt>
                <c:pt idx="94">
                  <c:v>1.5</c:v>
                </c:pt>
                <c:pt idx="95">
                  <c:v>0.7142857142857143</c:v>
                </c:pt>
                <c:pt idx="96">
                  <c:v>2.142857142857143</c:v>
                </c:pt>
              </c:numCache>
            </c:numRef>
          </c:val>
          <c:smooth val="0"/>
        </c:ser>
        <c:marker val="1"/>
        <c:axId val="18052434"/>
        <c:axId val="28254179"/>
      </c:lineChart>
      <c:dateAx>
        <c:axId val="18052434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417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825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9625"/>
          <c:w val="0.92125"/>
          <c:h val="0.63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data'!$AJ$8:$AJ$104</c:f>
              <c:numCache>
                <c:ptCount val="97"/>
                <c:pt idx="0">
                  <c:v>1.7859714285714288</c:v>
                </c:pt>
                <c:pt idx="1">
                  <c:v>3.6314285714285717</c:v>
                </c:pt>
                <c:pt idx="2">
                  <c:v>1.789557142857143</c:v>
                </c:pt>
                <c:pt idx="3">
                  <c:v>1.7864285714285715</c:v>
                </c:pt>
                <c:pt idx="4">
                  <c:v>4.6607142857142865</c:v>
                </c:pt>
                <c:pt idx="5">
                  <c:v>2.3828571428571426</c:v>
                </c:pt>
                <c:pt idx="6">
                  <c:v>4.017142857142857</c:v>
                </c:pt>
                <c:pt idx="7">
                  <c:v>2.9964285714285714</c:v>
                </c:pt>
                <c:pt idx="8">
                  <c:v>4.7857142857142865</c:v>
                </c:pt>
                <c:pt idx="9">
                  <c:v>1.7881428571428573</c:v>
                </c:pt>
                <c:pt idx="10">
                  <c:v>1.7857142857142858</c:v>
                </c:pt>
                <c:pt idx="11">
                  <c:v>3.7057142857142855</c:v>
                </c:pt>
                <c:pt idx="12">
                  <c:v>1.7917857142857143</c:v>
                </c:pt>
                <c:pt idx="13">
                  <c:v>1.7907857142857142</c:v>
                </c:pt>
                <c:pt idx="14">
                  <c:v>1.7925142857142857</c:v>
                </c:pt>
                <c:pt idx="15">
                  <c:v>1.7907857142857142</c:v>
                </c:pt>
                <c:pt idx="16">
                  <c:v>1.787</c:v>
                </c:pt>
                <c:pt idx="17">
                  <c:v>2.1064285714285713</c:v>
                </c:pt>
                <c:pt idx="18">
                  <c:v>1.786642857142857</c:v>
                </c:pt>
                <c:pt idx="19">
                  <c:v>1.78795</c:v>
                </c:pt>
                <c:pt idx="20">
                  <c:v>1.7916357142857142</c:v>
                </c:pt>
                <c:pt idx="21">
                  <c:v>1.7886428571428572</c:v>
                </c:pt>
                <c:pt idx="22">
                  <c:v>1.7879285714285715</c:v>
                </c:pt>
                <c:pt idx="23">
                  <c:v>1.8607142857142855</c:v>
                </c:pt>
                <c:pt idx="24">
                  <c:v>2.277857142857143</c:v>
                </c:pt>
                <c:pt idx="25">
                  <c:v>3.985714285714286</c:v>
                </c:pt>
                <c:pt idx="26">
                  <c:v>1.7902142857142855</c:v>
                </c:pt>
                <c:pt idx="27">
                  <c:v>3.0307142857142857</c:v>
                </c:pt>
                <c:pt idx="28">
                  <c:v>5.5842857142857145</c:v>
                </c:pt>
                <c:pt idx="29">
                  <c:v>4.231428571428571</c:v>
                </c:pt>
                <c:pt idx="30">
                  <c:v>3.645714285714286</c:v>
                </c:pt>
                <c:pt idx="31">
                  <c:v>2.5285714285714285</c:v>
                </c:pt>
                <c:pt idx="32">
                  <c:v>3.6014285714285714</c:v>
                </c:pt>
                <c:pt idx="33">
                  <c:v>2.7842857142857143</c:v>
                </c:pt>
                <c:pt idx="34">
                  <c:v>1.7889642857142856</c:v>
                </c:pt>
                <c:pt idx="35">
                  <c:v>2.5</c:v>
                </c:pt>
                <c:pt idx="36">
                  <c:v>2.857142857142857</c:v>
                </c:pt>
                <c:pt idx="37">
                  <c:v>1.7857142857142858</c:v>
                </c:pt>
                <c:pt idx="38">
                  <c:v>1.7857142857142858</c:v>
                </c:pt>
                <c:pt idx="39">
                  <c:v>2.7142857142857144</c:v>
                </c:pt>
                <c:pt idx="40">
                  <c:v>2.357142857142857</c:v>
                </c:pt>
                <c:pt idx="41">
                  <c:v>2.746428571428571</c:v>
                </c:pt>
                <c:pt idx="42">
                  <c:v>3</c:v>
                </c:pt>
                <c:pt idx="43">
                  <c:v>2.0714285714285716</c:v>
                </c:pt>
                <c:pt idx="44">
                  <c:v>2.0528571428571434</c:v>
                </c:pt>
                <c:pt idx="45">
                  <c:v>1.7857142857142858</c:v>
                </c:pt>
                <c:pt idx="46">
                  <c:v>1.7857142857142858</c:v>
                </c:pt>
                <c:pt idx="47">
                  <c:v>2.0371428571428574</c:v>
                </c:pt>
                <c:pt idx="48">
                  <c:v>1.7857142857142858</c:v>
                </c:pt>
                <c:pt idx="49">
                  <c:v>1.7857142857142858</c:v>
                </c:pt>
                <c:pt idx="50">
                  <c:v>2.305714285714286</c:v>
                </c:pt>
                <c:pt idx="51">
                  <c:v>2.49</c:v>
                </c:pt>
                <c:pt idx="52">
                  <c:v>3.36</c:v>
                </c:pt>
                <c:pt idx="53">
                  <c:v>1.8252142857142857</c:v>
                </c:pt>
                <c:pt idx="54">
                  <c:v>2.5835714285714286</c:v>
                </c:pt>
                <c:pt idx="55">
                  <c:v>1.7970714285714287</c:v>
                </c:pt>
                <c:pt idx="56">
                  <c:v>3.6528571428571426</c:v>
                </c:pt>
                <c:pt idx="57">
                  <c:v>1.8260214285714287</c:v>
                </c:pt>
                <c:pt idx="58">
                  <c:v>3.195</c:v>
                </c:pt>
                <c:pt idx="59">
                  <c:v>2.5264285714285712</c:v>
                </c:pt>
                <c:pt idx="60">
                  <c:v>1.8278714285714286</c:v>
                </c:pt>
                <c:pt idx="61">
                  <c:v>1.8268</c:v>
                </c:pt>
                <c:pt idx="62">
                  <c:v>4.034285714285714</c:v>
                </c:pt>
                <c:pt idx="63">
                  <c:v>1.8075</c:v>
                </c:pt>
                <c:pt idx="64">
                  <c:v>1.8470714285714287</c:v>
                </c:pt>
                <c:pt idx="65">
                  <c:v>1.8214285714285712</c:v>
                </c:pt>
                <c:pt idx="66">
                  <c:v>3.6885714285714286</c:v>
                </c:pt>
                <c:pt idx="67">
                  <c:v>1.82155</c:v>
                </c:pt>
                <c:pt idx="68">
                  <c:v>1.8282142857142856</c:v>
                </c:pt>
                <c:pt idx="69">
                  <c:v>3.495</c:v>
                </c:pt>
                <c:pt idx="70">
                  <c:v>1.8084285714285715</c:v>
                </c:pt>
                <c:pt idx="71">
                  <c:v>1.8262428571428573</c:v>
                </c:pt>
                <c:pt idx="72">
                  <c:v>1.8325000000000002</c:v>
                </c:pt>
                <c:pt idx="73">
                  <c:v>1.8214285714285712</c:v>
                </c:pt>
                <c:pt idx="74">
                  <c:v>1.7903571428571428</c:v>
                </c:pt>
                <c:pt idx="75">
                  <c:v>1.8230214285714288</c:v>
                </c:pt>
                <c:pt idx="76">
                  <c:v>1.843214285714286</c:v>
                </c:pt>
                <c:pt idx="77">
                  <c:v>1.8271142857142857</c:v>
                </c:pt>
                <c:pt idx="78">
                  <c:v>3.5007142857142854</c:v>
                </c:pt>
                <c:pt idx="79">
                  <c:v>1.835142857142857</c:v>
                </c:pt>
                <c:pt idx="80">
                  <c:v>1.8352857142857144</c:v>
                </c:pt>
                <c:pt idx="81">
                  <c:v>2.361428571428571</c:v>
                </c:pt>
                <c:pt idx="82">
                  <c:v>2.410714285714286</c:v>
                </c:pt>
                <c:pt idx="83">
                  <c:v>1.8196428571428571</c:v>
                </c:pt>
                <c:pt idx="84">
                  <c:v>1.8219285714285713</c:v>
                </c:pt>
                <c:pt idx="85">
                  <c:v>1.8249714285714285</c:v>
                </c:pt>
                <c:pt idx="86">
                  <c:v>1.849357142857143</c:v>
                </c:pt>
                <c:pt idx="87">
                  <c:v>1.8214285714285712</c:v>
                </c:pt>
                <c:pt idx="88">
                  <c:v>1.8214285714285712</c:v>
                </c:pt>
                <c:pt idx="89">
                  <c:v>1.802142857142857</c:v>
                </c:pt>
                <c:pt idx="90">
                  <c:v>1.8445</c:v>
                </c:pt>
                <c:pt idx="91">
                  <c:v>2.4307142857142856</c:v>
                </c:pt>
                <c:pt idx="92">
                  <c:v>4.703571428571429</c:v>
                </c:pt>
                <c:pt idx="93">
                  <c:v>1.8195</c:v>
                </c:pt>
                <c:pt idx="94">
                  <c:v>15.25</c:v>
                </c:pt>
                <c:pt idx="95">
                  <c:v>3.9928571428571424</c:v>
                </c:pt>
                <c:pt idx="96">
                  <c:v>1.8214285714285712</c:v>
                </c:pt>
              </c:numCache>
            </c:numRef>
          </c:val>
          <c:smooth val="0"/>
        </c:ser>
        <c:marker val="1"/>
        <c:axId val="52961020"/>
        <c:axId val="6887133"/>
      </c:lineChart>
      <c:dateAx>
        <c:axId val="5296102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713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887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1020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pH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5"/>
          <c:y val="0.1595"/>
          <c:w val="0.0892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pH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855"/>
          <c:w val="0.926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data'!$S$8:$S$104</c:f>
              <c:numCache>
                <c:ptCount val="97"/>
                <c:pt idx="0">
                  <c:v>5.5</c:v>
                </c:pt>
                <c:pt idx="1">
                  <c:v>6.61</c:v>
                </c:pt>
                <c:pt idx="2">
                  <c:v>5.3</c:v>
                </c:pt>
                <c:pt idx="3">
                  <c:v>6.34</c:v>
                </c:pt>
                <c:pt idx="4">
                  <c:v>6.48</c:v>
                </c:pt>
                <c:pt idx="5">
                  <c:v>6.11</c:v>
                </c:pt>
                <c:pt idx="6">
                  <c:v>5.75</c:v>
                </c:pt>
                <c:pt idx="7">
                  <c:v>6.2</c:v>
                </c:pt>
                <c:pt idx="8">
                  <c:v>6.48</c:v>
                </c:pt>
                <c:pt idx="9">
                  <c:v>5.99</c:v>
                </c:pt>
                <c:pt idx="10">
                  <c:v>6.16</c:v>
                </c:pt>
                <c:pt idx="11">
                  <c:v>5.25</c:v>
                </c:pt>
                <c:pt idx="12">
                  <c:v>6.2</c:v>
                </c:pt>
                <c:pt idx="13">
                  <c:v>6.24</c:v>
                </c:pt>
                <c:pt idx="14">
                  <c:v>5.43</c:v>
                </c:pt>
                <c:pt idx="15">
                  <c:v>6.27</c:v>
                </c:pt>
                <c:pt idx="16">
                  <c:v>5.92</c:v>
                </c:pt>
                <c:pt idx="17">
                  <c:v>6.42</c:v>
                </c:pt>
                <c:pt idx="18">
                  <c:v>6.53</c:v>
                </c:pt>
                <c:pt idx="19">
                  <c:v>6.5</c:v>
                </c:pt>
                <c:pt idx="20">
                  <c:v>6.61</c:v>
                </c:pt>
                <c:pt idx="21">
                  <c:v>6.34</c:v>
                </c:pt>
                <c:pt idx="22">
                  <c:v>6.53</c:v>
                </c:pt>
                <c:pt idx="23">
                  <c:v>6.46</c:v>
                </c:pt>
                <c:pt idx="24">
                  <c:v>6.56</c:v>
                </c:pt>
                <c:pt idx="25">
                  <c:v>6.37</c:v>
                </c:pt>
                <c:pt idx="26">
                  <c:v>6.49</c:v>
                </c:pt>
                <c:pt idx="27">
                  <c:v>6.42</c:v>
                </c:pt>
                <c:pt idx="28">
                  <c:v>6.57</c:v>
                </c:pt>
                <c:pt idx="29">
                  <c:v>6.55</c:v>
                </c:pt>
                <c:pt idx="30">
                  <c:v>6.3</c:v>
                </c:pt>
                <c:pt idx="31">
                  <c:v>6.44</c:v>
                </c:pt>
                <c:pt idx="32">
                  <c:v>6.09</c:v>
                </c:pt>
                <c:pt idx="33">
                  <c:v>6.58</c:v>
                </c:pt>
                <c:pt idx="34">
                  <c:v>5.73</c:v>
                </c:pt>
                <c:pt idx="35">
                  <c:v>6.79</c:v>
                </c:pt>
                <c:pt idx="36">
                  <c:v>5.6</c:v>
                </c:pt>
                <c:pt idx="37">
                  <c:v>6.35</c:v>
                </c:pt>
                <c:pt idx="38">
                  <c:v>6.2</c:v>
                </c:pt>
                <c:pt idx="39">
                  <c:v>6</c:v>
                </c:pt>
                <c:pt idx="40">
                  <c:v>6.11</c:v>
                </c:pt>
                <c:pt idx="41">
                  <c:v>6.26</c:v>
                </c:pt>
                <c:pt idx="42">
                  <c:v>6.58</c:v>
                </c:pt>
                <c:pt idx="43">
                  <c:v>6.68</c:v>
                </c:pt>
                <c:pt idx="44">
                  <c:v>6.44</c:v>
                </c:pt>
                <c:pt idx="45">
                  <c:v>6.54</c:v>
                </c:pt>
                <c:pt idx="46">
                  <c:v>6.57</c:v>
                </c:pt>
                <c:pt idx="47">
                  <c:v>6.65</c:v>
                </c:pt>
                <c:pt idx="48">
                  <c:v>6.81</c:v>
                </c:pt>
                <c:pt idx="49">
                  <c:v>6.67</c:v>
                </c:pt>
                <c:pt idx="50">
                  <c:v>6.38</c:v>
                </c:pt>
                <c:pt idx="51">
                  <c:v>6.46</c:v>
                </c:pt>
                <c:pt idx="52">
                  <c:v>6.32</c:v>
                </c:pt>
                <c:pt idx="53">
                  <c:v>5.49</c:v>
                </c:pt>
                <c:pt idx="54">
                  <c:v>6.56</c:v>
                </c:pt>
                <c:pt idx="55">
                  <c:v>6.12</c:v>
                </c:pt>
                <c:pt idx="56">
                  <c:v>6.41</c:v>
                </c:pt>
                <c:pt idx="57">
                  <c:v>6.59</c:v>
                </c:pt>
                <c:pt idx="58">
                  <c:v>6.56</c:v>
                </c:pt>
                <c:pt idx="59">
                  <c:v>6.67</c:v>
                </c:pt>
                <c:pt idx="60">
                  <c:v>6.13</c:v>
                </c:pt>
                <c:pt idx="61">
                  <c:v>6.43</c:v>
                </c:pt>
                <c:pt idx="62">
                  <c:v>6.47</c:v>
                </c:pt>
                <c:pt idx="63">
                  <c:v>5.697</c:v>
                </c:pt>
                <c:pt idx="64">
                  <c:v>6.075</c:v>
                </c:pt>
                <c:pt idx="65">
                  <c:v>6.222</c:v>
                </c:pt>
                <c:pt idx="66">
                  <c:v>5.66</c:v>
                </c:pt>
                <c:pt idx="67">
                  <c:v>6.268</c:v>
                </c:pt>
                <c:pt idx="68">
                  <c:v>6.632</c:v>
                </c:pt>
                <c:pt idx="69">
                  <c:v>6.642</c:v>
                </c:pt>
                <c:pt idx="70">
                  <c:v>6.5</c:v>
                </c:pt>
                <c:pt idx="71">
                  <c:v>6.787</c:v>
                </c:pt>
                <c:pt idx="72">
                  <c:v>6.543</c:v>
                </c:pt>
                <c:pt idx="73">
                  <c:v>5.976</c:v>
                </c:pt>
                <c:pt idx="74">
                  <c:v>6.643</c:v>
                </c:pt>
                <c:pt idx="75">
                  <c:v>6.309</c:v>
                </c:pt>
                <c:pt idx="76">
                  <c:v>6.582</c:v>
                </c:pt>
                <c:pt idx="77">
                  <c:v>6.465</c:v>
                </c:pt>
                <c:pt idx="78">
                  <c:v>6.235</c:v>
                </c:pt>
                <c:pt idx="79">
                  <c:v>6.307</c:v>
                </c:pt>
                <c:pt idx="80">
                  <c:v>6.144</c:v>
                </c:pt>
                <c:pt idx="81">
                  <c:v>6.278</c:v>
                </c:pt>
                <c:pt idx="82">
                  <c:v>6.371</c:v>
                </c:pt>
                <c:pt idx="83">
                  <c:v>6.565</c:v>
                </c:pt>
                <c:pt idx="84">
                  <c:v>5.01</c:v>
                </c:pt>
                <c:pt idx="85">
                  <c:v>6.571</c:v>
                </c:pt>
                <c:pt idx="86">
                  <c:v>4.933</c:v>
                </c:pt>
                <c:pt idx="87">
                  <c:v>6.621</c:v>
                </c:pt>
                <c:pt idx="88">
                  <c:v>6.53</c:v>
                </c:pt>
                <c:pt idx="89">
                  <c:v>6.445</c:v>
                </c:pt>
                <c:pt idx="90">
                  <c:v>5.302</c:v>
                </c:pt>
                <c:pt idx="91">
                  <c:v>6.045</c:v>
                </c:pt>
                <c:pt idx="92">
                  <c:v>6.524</c:v>
                </c:pt>
                <c:pt idx="93">
                  <c:v>5.977</c:v>
                </c:pt>
                <c:pt idx="94">
                  <c:v>4.927</c:v>
                </c:pt>
                <c:pt idx="95">
                  <c:v>6.246</c:v>
                </c:pt>
                <c:pt idx="96">
                  <c:v>6.105</c:v>
                </c:pt>
              </c:numCache>
            </c:numRef>
          </c:val>
          <c:smooth val="0"/>
        </c:ser>
        <c:marker val="1"/>
        <c:axId val="54664112"/>
        <c:axId val="22214961"/>
      </c:lineChart>
      <c:dateAx>
        <c:axId val="54664112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496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2214961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P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716922"/>
        <c:axId val="54581387"/>
      </c:lineChart>
      <c:cat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data'!$AM$8:$AM$104</c:f>
              <c:numCache>
                <c:ptCount val="97"/>
                <c:pt idx="0">
                  <c:v>13.315</c:v>
                </c:pt>
                <c:pt idx="1">
                  <c:v>27.395000000000003</c:v>
                </c:pt>
                <c:pt idx="2">
                  <c:v>31.005</c:v>
                </c:pt>
                <c:pt idx="3">
                  <c:v>27.04</c:v>
                </c:pt>
                <c:pt idx="4">
                  <c:v>29.77</c:v>
                </c:pt>
                <c:pt idx="5">
                  <c:v>24.729999999999997</c:v>
                </c:pt>
                <c:pt idx="6">
                  <c:v>11.61</c:v>
                </c:pt>
                <c:pt idx="7">
                  <c:v>28.455000000000002</c:v>
                </c:pt>
                <c:pt idx="8">
                  <c:v>28.999999999999996</c:v>
                </c:pt>
                <c:pt idx="9">
                  <c:v>36.144999999999996</c:v>
                </c:pt>
                <c:pt idx="10">
                  <c:v>17.98</c:v>
                </c:pt>
                <c:pt idx="11">
                  <c:v>30.91</c:v>
                </c:pt>
                <c:pt idx="12">
                  <c:v>26.684999999999995</c:v>
                </c:pt>
                <c:pt idx="13">
                  <c:v>28.64</c:v>
                </c:pt>
                <c:pt idx="14">
                  <c:v>29.580000000000002</c:v>
                </c:pt>
                <c:pt idx="15">
                  <c:v>26.18</c:v>
                </c:pt>
                <c:pt idx="16">
                  <c:v>27.155</c:v>
                </c:pt>
                <c:pt idx="17">
                  <c:v>31.195</c:v>
                </c:pt>
                <c:pt idx="18">
                  <c:v>33.12</c:v>
                </c:pt>
                <c:pt idx="19">
                  <c:v>34.775</c:v>
                </c:pt>
                <c:pt idx="20">
                  <c:v>35.55</c:v>
                </c:pt>
                <c:pt idx="21">
                  <c:v>32.885</c:v>
                </c:pt>
                <c:pt idx="22">
                  <c:v>29.089999999999996</c:v>
                </c:pt>
                <c:pt idx="23">
                  <c:v>32.735</c:v>
                </c:pt>
                <c:pt idx="24">
                  <c:v>22.935000000000002</c:v>
                </c:pt>
                <c:pt idx="25">
                  <c:v>23.91</c:v>
                </c:pt>
                <c:pt idx="26">
                  <c:v>22.1</c:v>
                </c:pt>
                <c:pt idx="27">
                  <c:v>24.065</c:v>
                </c:pt>
                <c:pt idx="28">
                  <c:v>30.935000000000002</c:v>
                </c:pt>
                <c:pt idx="29">
                  <c:v>31.465</c:v>
                </c:pt>
                <c:pt idx="30">
                  <c:v>24.085</c:v>
                </c:pt>
                <c:pt idx="31">
                  <c:v>24.985</c:v>
                </c:pt>
                <c:pt idx="32">
                  <c:v>21.840000000000003</c:v>
                </c:pt>
                <c:pt idx="33">
                  <c:v>28.515</c:v>
                </c:pt>
                <c:pt idx="34">
                  <c:v>27.13</c:v>
                </c:pt>
                <c:pt idx="35">
                  <c:v>28.999999999999996</c:v>
                </c:pt>
                <c:pt idx="36">
                  <c:v>38.5</c:v>
                </c:pt>
                <c:pt idx="37">
                  <c:v>27.000000000000004</c:v>
                </c:pt>
                <c:pt idx="38">
                  <c:v>16.150000000000002</c:v>
                </c:pt>
                <c:pt idx="39">
                  <c:v>28.499999999999996</c:v>
                </c:pt>
                <c:pt idx="40">
                  <c:v>25</c:v>
                </c:pt>
                <c:pt idx="41">
                  <c:v>28.904999999999998</c:v>
                </c:pt>
                <c:pt idx="42">
                  <c:v>31</c:v>
                </c:pt>
                <c:pt idx="43">
                  <c:v>33.5</c:v>
                </c:pt>
                <c:pt idx="44">
                  <c:v>31.685000000000006</c:v>
                </c:pt>
                <c:pt idx="45">
                  <c:v>29.089999999999996</c:v>
                </c:pt>
                <c:pt idx="46">
                  <c:v>37.835</c:v>
                </c:pt>
                <c:pt idx="47">
                  <c:v>33.515</c:v>
                </c:pt>
                <c:pt idx="48">
                  <c:v>36.540000000000006</c:v>
                </c:pt>
                <c:pt idx="49">
                  <c:v>43.10999999999999</c:v>
                </c:pt>
                <c:pt idx="50">
                  <c:v>23.235</c:v>
                </c:pt>
                <c:pt idx="51">
                  <c:v>24.035</c:v>
                </c:pt>
                <c:pt idx="52">
                  <c:v>20.215</c:v>
                </c:pt>
                <c:pt idx="53">
                  <c:v>15.58</c:v>
                </c:pt>
                <c:pt idx="54">
                  <c:v>27.755000000000003</c:v>
                </c:pt>
                <c:pt idx="55">
                  <c:v>22.595</c:v>
                </c:pt>
                <c:pt idx="56">
                  <c:v>19.130000000000003</c:v>
                </c:pt>
                <c:pt idx="57">
                  <c:v>30.485000000000003</c:v>
                </c:pt>
                <c:pt idx="58">
                  <c:v>36.315</c:v>
                </c:pt>
                <c:pt idx="59">
                  <c:v>51.64999999999999</c:v>
                </c:pt>
                <c:pt idx="60">
                  <c:v>43.295</c:v>
                </c:pt>
                <c:pt idx="61">
                  <c:v>42.925000000000004</c:v>
                </c:pt>
                <c:pt idx="62">
                  <c:v>25.555</c:v>
                </c:pt>
                <c:pt idx="63">
                  <c:v>30.014999999999997</c:v>
                </c:pt>
                <c:pt idx="64">
                  <c:v>33.9</c:v>
                </c:pt>
                <c:pt idx="65">
                  <c:v>27.635</c:v>
                </c:pt>
                <c:pt idx="66">
                  <c:v>30.66</c:v>
                </c:pt>
                <c:pt idx="67">
                  <c:v>27.765</c:v>
                </c:pt>
                <c:pt idx="68">
                  <c:v>33.855000000000004</c:v>
                </c:pt>
                <c:pt idx="69">
                  <c:v>36.045</c:v>
                </c:pt>
                <c:pt idx="70">
                  <c:v>38.23500000000001</c:v>
                </c:pt>
                <c:pt idx="71">
                  <c:v>33.93</c:v>
                </c:pt>
                <c:pt idx="72">
                  <c:v>34.03</c:v>
                </c:pt>
                <c:pt idx="73">
                  <c:v>18.65</c:v>
                </c:pt>
                <c:pt idx="74">
                  <c:v>35.86</c:v>
                </c:pt>
                <c:pt idx="75">
                  <c:v>33.285</c:v>
                </c:pt>
                <c:pt idx="76">
                  <c:v>34.33</c:v>
                </c:pt>
                <c:pt idx="77">
                  <c:v>34.300000000000004</c:v>
                </c:pt>
                <c:pt idx="78">
                  <c:v>25.159999999999997</c:v>
                </c:pt>
                <c:pt idx="79">
                  <c:v>24.62</c:v>
                </c:pt>
                <c:pt idx="80">
                  <c:v>19.139999999999997</c:v>
                </c:pt>
                <c:pt idx="81">
                  <c:v>17.285</c:v>
                </c:pt>
                <c:pt idx="82">
                  <c:v>27.470000000000002</c:v>
                </c:pt>
                <c:pt idx="83">
                  <c:v>28.034999999999997</c:v>
                </c:pt>
                <c:pt idx="84">
                  <c:v>38.894999999999996</c:v>
                </c:pt>
                <c:pt idx="85">
                  <c:v>44.605</c:v>
                </c:pt>
                <c:pt idx="86">
                  <c:v>25.07</c:v>
                </c:pt>
                <c:pt idx="87">
                  <c:v>43.78</c:v>
                </c:pt>
                <c:pt idx="88">
                  <c:v>31.724999999999998</c:v>
                </c:pt>
                <c:pt idx="89">
                  <c:v>28.01</c:v>
                </c:pt>
                <c:pt idx="90">
                  <c:v>15.47</c:v>
                </c:pt>
                <c:pt idx="91">
                  <c:v>23.915</c:v>
                </c:pt>
                <c:pt idx="92">
                  <c:v>39.370000000000005</c:v>
                </c:pt>
                <c:pt idx="93">
                  <c:v>22.755000000000003</c:v>
                </c:pt>
                <c:pt idx="94">
                  <c:v>28.199999999999996</c:v>
                </c:pt>
                <c:pt idx="95">
                  <c:v>25.22</c:v>
                </c:pt>
                <c:pt idx="96">
                  <c:v>25.759999999999998</c:v>
                </c:pt>
              </c:numCache>
            </c:numRef>
          </c:val>
          <c:smooth val="0"/>
        </c:ser>
        <c:marker val="1"/>
        <c:axId val="11444566"/>
        <c:axId val="35892231"/>
      </c:lineChart>
      <c:dateAx>
        <c:axId val="1144456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9223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589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P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data'!$AS$8:$AS$104</c:f>
              <c:numCache>
                <c:ptCount val="97"/>
                <c:pt idx="0">
                  <c:v>4.838709677419355</c:v>
                </c:pt>
                <c:pt idx="1">
                  <c:v>4.838709677419355</c:v>
                </c:pt>
                <c:pt idx="2">
                  <c:v>4.838709677419355</c:v>
                </c:pt>
                <c:pt idx="3">
                  <c:v>4.838709677419355</c:v>
                </c:pt>
                <c:pt idx="5">
                  <c:v>4.838709677419355</c:v>
                </c:pt>
                <c:pt idx="6">
                  <c:v>4.838709677419355</c:v>
                </c:pt>
                <c:pt idx="7">
                  <c:v>4.838709677419355</c:v>
                </c:pt>
                <c:pt idx="8">
                  <c:v>4.838709677419355</c:v>
                </c:pt>
                <c:pt idx="9">
                  <c:v>4.838709677419355</c:v>
                </c:pt>
                <c:pt idx="10">
                  <c:v>4.838709677419355</c:v>
                </c:pt>
                <c:pt idx="11">
                  <c:v>4.838709677419355</c:v>
                </c:pt>
                <c:pt idx="12">
                  <c:v>4.838709677419355</c:v>
                </c:pt>
                <c:pt idx="13">
                  <c:v>4.838709677419355</c:v>
                </c:pt>
                <c:pt idx="14">
                  <c:v>4.838709677419355</c:v>
                </c:pt>
                <c:pt idx="15">
                  <c:v>4.838709677419355</c:v>
                </c:pt>
                <c:pt idx="16">
                  <c:v>4.838709677419355</c:v>
                </c:pt>
                <c:pt idx="17">
                  <c:v>4.838709677419355</c:v>
                </c:pt>
                <c:pt idx="18">
                  <c:v>4.838709677419355</c:v>
                </c:pt>
                <c:pt idx="19">
                  <c:v>4.838709677419355</c:v>
                </c:pt>
                <c:pt idx="20">
                  <c:v>4.838709677419355</c:v>
                </c:pt>
                <c:pt idx="21">
                  <c:v>4.838709677419355</c:v>
                </c:pt>
                <c:pt idx="22">
                  <c:v>4.838709677419355</c:v>
                </c:pt>
                <c:pt idx="23">
                  <c:v>4.838709677419355</c:v>
                </c:pt>
                <c:pt idx="24">
                  <c:v>4.838709677419355</c:v>
                </c:pt>
                <c:pt idx="25">
                  <c:v>4.838709677419355</c:v>
                </c:pt>
                <c:pt idx="26">
                  <c:v>4.838709677419355</c:v>
                </c:pt>
                <c:pt idx="27">
                  <c:v>4.838709677419355</c:v>
                </c:pt>
                <c:pt idx="28">
                  <c:v>4.838709677419355</c:v>
                </c:pt>
                <c:pt idx="29">
                  <c:v>4.838709677419355</c:v>
                </c:pt>
                <c:pt idx="30">
                  <c:v>4.838709677419355</c:v>
                </c:pt>
                <c:pt idx="31">
                  <c:v>4.838709677419355</c:v>
                </c:pt>
                <c:pt idx="32">
                  <c:v>4.838709677419355</c:v>
                </c:pt>
                <c:pt idx="33">
                  <c:v>4.838709677419355</c:v>
                </c:pt>
                <c:pt idx="34">
                  <c:v>4.838709677419355</c:v>
                </c:pt>
                <c:pt idx="35">
                  <c:v>4.838709677419355</c:v>
                </c:pt>
                <c:pt idx="36">
                  <c:v>4.838709677419355</c:v>
                </c:pt>
                <c:pt idx="37">
                  <c:v>4.838709677419355</c:v>
                </c:pt>
                <c:pt idx="38">
                  <c:v>4.838709677419355</c:v>
                </c:pt>
                <c:pt idx="39">
                  <c:v>4.838709677419355</c:v>
                </c:pt>
                <c:pt idx="40">
                  <c:v>4.838709677419355</c:v>
                </c:pt>
                <c:pt idx="41">
                  <c:v>4.838709677419355</c:v>
                </c:pt>
                <c:pt idx="42">
                  <c:v>4.838709677419355</c:v>
                </c:pt>
                <c:pt idx="43">
                  <c:v>4.838709677419355</c:v>
                </c:pt>
                <c:pt idx="44">
                  <c:v>4.838709677419355</c:v>
                </c:pt>
                <c:pt idx="45">
                  <c:v>4.838709677419355</c:v>
                </c:pt>
                <c:pt idx="46">
                  <c:v>4.838709677419355</c:v>
                </c:pt>
                <c:pt idx="47">
                  <c:v>4.838709677419355</c:v>
                </c:pt>
                <c:pt idx="48">
                  <c:v>4.838709677419355</c:v>
                </c:pt>
                <c:pt idx="49">
                  <c:v>4.838709677419355</c:v>
                </c:pt>
                <c:pt idx="50">
                  <c:v>4.838709677419355</c:v>
                </c:pt>
                <c:pt idx="51">
                  <c:v>4.838709677419355</c:v>
                </c:pt>
                <c:pt idx="52">
                  <c:v>4.838709677419355</c:v>
                </c:pt>
                <c:pt idx="53">
                  <c:v>4.838709677419355</c:v>
                </c:pt>
                <c:pt idx="54">
                  <c:v>4.838709677419355</c:v>
                </c:pt>
                <c:pt idx="55">
                  <c:v>4.838709677419355</c:v>
                </c:pt>
                <c:pt idx="56">
                  <c:v>4.838709677419355</c:v>
                </c:pt>
                <c:pt idx="57">
                  <c:v>4.838709677419355</c:v>
                </c:pt>
                <c:pt idx="58">
                  <c:v>7.129354838709677</c:v>
                </c:pt>
                <c:pt idx="59">
                  <c:v>4.838709677419355</c:v>
                </c:pt>
                <c:pt idx="60">
                  <c:v>4.838709677419355</c:v>
                </c:pt>
                <c:pt idx="61">
                  <c:v>4.838709677419355</c:v>
                </c:pt>
                <c:pt idx="62">
                  <c:v>4.838709677419355</c:v>
                </c:pt>
                <c:pt idx="63">
                  <c:v>4.838709677419355</c:v>
                </c:pt>
                <c:pt idx="64">
                  <c:v>4.838709677419355</c:v>
                </c:pt>
                <c:pt idx="65">
                  <c:v>4.838709677419355</c:v>
                </c:pt>
                <c:pt idx="66">
                  <c:v>4.838709677419355</c:v>
                </c:pt>
                <c:pt idx="67">
                  <c:v>4.838709677419355</c:v>
                </c:pt>
                <c:pt idx="68">
                  <c:v>4.838709677419355</c:v>
                </c:pt>
                <c:pt idx="69">
                  <c:v>4.838709677419355</c:v>
                </c:pt>
                <c:pt idx="70">
                  <c:v>4.838709677419355</c:v>
                </c:pt>
                <c:pt idx="71">
                  <c:v>4.838709677419355</c:v>
                </c:pt>
                <c:pt idx="72">
                  <c:v>4.838709677419355</c:v>
                </c:pt>
                <c:pt idx="73">
                  <c:v>4.838709677419355</c:v>
                </c:pt>
                <c:pt idx="74">
                  <c:v>4.838709677419355</c:v>
                </c:pt>
                <c:pt idx="75">
                  <c:v>4.838709677419355</c:v>
                </c:pt>
                <c:pt idx="76">
                  <c:v>4.838709677419355</c:v>
                </c:pt>
                <c:pt idx="77">
                  <c:v>4.838709677419355</c:v>
                </c:pt>
                <c:pt idx="78">
                  <c:v>4.838709677419355</c:v>
                </c:pt>
                <c:pt idx="79">
                  <c:v>4.838709677419355</c:v>
                </c:pt>
                <c:pt idx="80">
                  <c:v>4.838709677419355</c:v>
                </c:pt>
                <c:pt idx="81">
                  <c:v>4.838709677419355</c:v>
                </c:pt>
                <c:pt idx="82">
                  <c:v>4.838709677419355</c:v>
                </c:pt>
                <c:pt idx="83">
                  <c:v>4.838709677419355</c:v>
                </c:pt>
                <c:pt idx="84">
                  <c:v>4.838709677419355</c:v>
                </c:pt>
                <c:pt idx="85">
                  <c:v>4.838709677419355</c:v>
                </c:pt>
                <c:pt idx="86">
                  <c:v>4.838709677419355</c:v>
                </c:pt>
                <c:pt idx="87">
                  <c:v>4.838709677419355</c:v>
                </c:pt>
                <c:pt idx="88">
                  <c:v>4.838709677419355</c:v>
                </c:pt>
                <c:pt idx="89">
                  <c:v>4.838709677419355</c:v>
                </c:pt>
                <c:pt idx="90">
                  <c:v>4.838709677419355</c:v>
                </c:pt>
                <c:pt idx="91">
                  <c:v>4.838709677419355</c:v>
                </c:pt>
                <c:pt idx="92">
                  <c:v>4.838709677419355</c:v>
                </c:pt>
                <c:pt idx="93">
                  <c:v>4.838709677419355</c:v>
                </c:pt>
                <c:pt idx="94">
                  <c:v>4.838709677419355</c:v>
                </c:pt>
                <c:pt idx="95">
                  <c:v>4.838709677419355</c:v>
                </c:pt>
                <c:pt idx="96">
                  <c:v>4.838709677419355</c:v>
                </c:pt>
              </c:numCache>
            </c:numRef>
          </c:val>
          <c:smooth val="0"/>
        </c:ser>
        <c:marker val="1"/>
        <c:axId val="21470436"/>
        <c:axId val="59016197"/>
      </c:lineChart>
      <c:dateAx>
        <c:axId val="2147043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619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9016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1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-P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9"/>
          <c:y val="0.1685"/>
          <c:w val="0.089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-P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955"/>
          <c:w val="0.92225"/>
          <c:h val="0.63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data'!$AK$8:$AK$104</c:f>
              <c:numCache>
                <c:ptCount val="97"/>
                <c:pt idx="0">
                  <c:v>1.3548387096774195</c:v>
                </c:pt>
                <c:pt idx="1">
                  <c:v>1.5967741935483872</c:v>
                </c:pt>
                <c:pt idx="3">
                  <c:v>0.8709677419354838</c:v>
                </c:pt>
                <c:pt idx="4">
                  <c:v>0.9290322580645161</c:v>
                </c:pt>
                <c:pt idx="5">
                  <c:v>0.8903225806451613</c:v>
                </c:pt>
                <c:pt idx="6">
                  <c:v>0.8806451612903227</c:v>
                </c:pt>
                <c:pt idx="7">
                  <c:v>0.9774193548387096</c:v>
                </c:pt>
                <c:pt idx="8">
                  <c:v>1.258064516129032</c:v>
                </c:pt>
                <c:pt idx="9">
                  <c:v>0.49258064516129035</c:v>
                </c:pt>
                <c:pt idx="10">
                  <c:v>0.4916129032258064</c:v>
                </c:pt>
                <c:pt idx="11">
                  <c:v>0.4887096774193548</c:v>
                </c:pt>
                <c:pt idx="12">
                  <c:v>0.49064516129032254</c:v>
                </c:pt>
                <c:pt idx="13">
                  <c:v>0.5419354838709677</c:v>
                </c:pt>
                <c:pt idx="14">
                  <c:v>0.49258064516129035</c:v>
                </c:pt>
                <c:pt idx="15">
                  <c:v>0.487741935483871</c:v>
                </c:pt>
                <c:pt idx="16">
                  <c:v>0.5032258064516129</c:v>
                </c:pt>
                <c:pt idx="17">
                  <c:v>0.49258064516129035</c:v>
                </c:pt>
                <c:pt idx="18">
                  <c:v>0.4838709677419355</c:v>
                </c:pt>
                <c:pt idx="19">
                  <c:v>0.49064516129032254</c:v>
                </c:pt>
                <c:pt idx="20">
                  <c:v>0.4848387096774194</c:v>
                </c:pt>
                <c:pt idx="21">
                  <c:v>0.49258064516129035</c:v>
                </c:pt>
                <c:pt idx="22">
                  <c:v>0.4838709677419355</c:v>
                </c:pt>
                <c:pt idx="23">
                  <c:v>0.49064516129032254</c:v>
                </c:pt>
                <c:pt idx="24">
                  <c:v>0.486774193548387</c:v>
                </c:pt>
                <c:pt idx="25">
                  <c:v>0.48580645161290326</c:v>
                </c:pt>
                <c:pt idx="26">
                  <c:v>0.49064516129032254</c:v>
                </c:pt>
                <c:pt idx="27">
                  <c:v>2.129032258064516</c:v>
                </c:pt>
                <c:pt idx="28">
                  <c:v>0.5709677419354839</c:v>
                </c:pt>
                <c:pt idx="29">
                  <c:v>0.532258064516129</c:v>
                </c:pt>
                <c:pt idx="30">
                  <c:v>0.4887096774193548</c:v>
                </c:pt>
                <c:pt idx="31">
                  <c:v>0.4838709677419355</c:v>
                </c:pt>
                <c:pt idx="32">
                  <c:v>0.4838709677419355</c:v>
                </c:pt>
                <c:pt idx="33">
                  <c:v>0.4838709677419355</c:v>
                </c:pt>
                <c:pt idx="34">
                  <c:v>1.4516129032258063</c:v>
                </c:pt>
                <c:pt idx="35">
                  <c:v>0.4838709677419355</c:v>
                </c:pt>
                <c:pt idx="36">
                  <c:v>0.4838709677419355</c:v>
                </c:pt>
                <c:pt idx="37">
                  <c:v>0.4838709677419355</c:v>
                </c:pt>
                <c:pt idx="38">
                  <c:v>0.4838709677419355</c:v>
                </c:pt>
                <c:pt idx="39">
                  <c:v>0.4838709677419355</c:v>
                </c:pt>
                <c:pt idx="40">
                  <c:v>0.5806451612903225</c:v>
                </c:pt>
                <c:pt idx="41">
                  <c:v>0.5806451612903225</c:v>
                </c:pt>
                <c:pt idx="42">
                  <c:v>0.8709677419354838</c:v>
                </c:pt>
                <c:pt idx="43">
                  <c:v>0.4838709677419355</c:v>
                </c:pt>
                <c:pt idx="44">
                  <c:v>0.4838709677419355</c:v>
                </c:pt>
                <c:pt idx="45">
                  <c:v>0.4838709677419355</c:v>
                </c:pt>
                <c:pt idx="46">
                  <c:v>0.4838709677419355</c:v>
                </c:pt>
                <c:pt idx="47">
                  <c:v>0.4838709677419355</c:v>
                </c:pt>
                <c:pt idx="48">
                  <c:v>0.6774193548387097</c:v>
                </c:pt>
                <c:pt idx="49">
                  <c:v>0.6774193548387097</c:v>
                </c:pt>
                <c:pt idx="50">
                  <c:v>0.6774193548387097</c:v>
                </c:pt>
                <c:pt idx="51">
                  <c:v>0.4838709677419355</c:v>
                </c:pt>
                <c:pt idx="52">
                  <c:v>0.4838709677419355</c:v>
                </c:pt>
                <c:pt idx="53">
                  <c:v>0.4838709677419355</c:v>
                </c:pt>
                <c:pt idx="54">
                  <c:v>0.4838709677419355</c:v>
                </c:pt>
                <c:pt idx="55">
                  <c:v>0.4838709677419355</c:v>
                </c:pt>
                <c:pt idx="56">
                  <c:v>0.4838709677419355</c:v>
                </c:pt>
                <c:pt idx="57">
                  <c:v>0.4838709677419355</c:v>
                </c:pt>
                <c:pt idx="58">
                  <c:v>0.4838709677419355</c:v>
                </c:pt>
                <c:pt idx="59">
                  <c:v>0.4838709677419355</c:v>
                </c:pt>
                <c:pt idx="60">
                  <c:v>0.4838709677419355</c:v>
                </c:pt>
                <c:pt idx="61">
                  <c:v>0.4838709677419355</c:v>
                </c:pt>
                <c:pt idx="62">
                  <c:v>0.4838709677419355</c:v>
                </c:pt>
                <c:pt idx="63">
                  <c:v>0.4838709677419355</c:v>
                </c:pt>
                <c:pt idx="64">
                  <c:v>0.4838709677419355</c:v>
                </c:pt>
                <c:pt idx="65">
                  <c:v>0.4838709677419355</c:v>
                </c:pt>
                <c:pt idx="66">
                  <c:v>0.5806451612903225</c:v>
                </c:pt>
                <c:pt idx="67">
                  <c:v>0.4838709677419355</c:v>
                </c:pt>
                <c:pt idx="68">
                  <c:v>0.4838709677419355</c:v>
                </c:pt>
                <c:pt idx="69">
                  <c:v>0.6774193548387097</c:v>
                </c:pt>
                <c:pt idx="70">
                  <c:v>0.4838709677419355</c:v>
                </c:pt>
                <c:pt idx="71">
                  <c:v>0.6774193548387097</c:v>
                </c:pt>
                <c:pt idx="72">
                  <c:v>0.4838709677419355</c:v>
                </c:pt>
                <c:pt idx="73">
                  <c:v>0.505741935483871</c:v>
                </c:pt>
                <c:pt idx="74">
                  <c:v>0.4838709677419355</c:v>
                </c:pt>
                <c:pt idx="75">
                  <c:v>0.4838709677419355</c:v>
                </c:pt>
                <c:pt idx="76">
                  <c:v>0.4838709677419355</c:v>
                </c:pt>
                <c:pt idx="77">
                  <c:v>0.5806451612903225</c:v>
                </c:pt>
                <c:pt idx="78">
                  <c:v>0.4838709677419355</c:v>
                </c:pt>
                <c:pt idx="79">
                  <c:v>0.4838709677419355</c:v>
                </c:pt>
                <c:pt idx="80">
                  <c:v>0.4838709677419355</c:v>
                </c:pt>
                <c:pt idx="81">
                  <c:v>0.4838709677419355</c:v>
                </c:pt>
                <c:pt idx="82">
                  <c:v>0.5806451612903225</c:v>
                </c:pt>
                <c:pt idx="83">
                  <c:v>0.4838709677419355</c:v>
                </c:pt>
                <c:pt idx="84">
                  <c:v>0.4838709677419355</c:v>
                </c:pt>
                <c:pt idx="85">
                  <c:v>0.4838709677419355</c:v>
                </c:pt>
                <c:pt idx="86">
                  <c:v>0.4838709677419355</c:v>
                </c:pt>
                <c:pt idx="87">
                  <c:v>0.4838709677419355</c:v>
                </c:pt>
                <c:pt idx="88">
                  <c:v>0.5806451612903225</c:v>
                </c:pt>
                <c:pt idx="89">
                  <c:v>0.6774193548387097</c:v>
                </c:pt>
                <c:pt idx="90">
                  <c:v>0.6774193548387097</c:v>
                </c:pt>
                <c:pt idx="91">
                  <c:v>0.6774193548387097</c:v>
                </c:pt>
                <c:pt idx="92">
                  <c:v>0.4838709677419355</c:v>
                </c:pt>
                <c:pt idx="93">
                  <c:v>0.5806451612903225</c:v>
                </c:pt>
                <c:pt idx="94">
                  <c:v>0.4838709677419355</c:v>
                </c:pt>
                <c:pt idx="95">
                  <c:v>0.4838709677419355</c:v>
                </c:pt>
                <c:pt idx="96">
                  <c:v>0.4838709677419355</c:v>
                </c:pt>
              </c:numCache>
            </c:numRef>
          </c:val>
          <c:smooth val="0"/>
        </c:ser>
        <c:marker val="1"/>
        <c:axId val="6025880"/>
        <c:axId val="54232921"/>
      </c:lineChart>
      <c:dateAx>
        <c:axId val="602588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292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80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S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242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data'!$AT$8:$AT$104</c:f>
              <c:numCache>
                <c:ptCount val="97"/>
                <c:pt idx="0">
                  <c:v>40.14375</c:v>
                </c:pt>
                <c:pt idx="1">
                  <c:v>47.6</c:v>
                </c:pt>
                <c:pt idx="2">
                  <c:v>32.9375</c:v>
                </c:pt>
                <c:pt idx="3">
                  <c:v>35.9375</c:v>
                </c:pt>
                <c:pt idx="4">
                  <c:v>44.0875</c:v>
                </c:pt>
                <c:pt idx="5">
                  <c:v>40.775</c:v>
                </c:pt>
                <c:pt idx="6">
                  <c:v>37.650000000000006</c:v>
                </c:pt>
                <c:pt idx="7">
                  <c:v>44.193749999999994</c:v>
                </c:pt>
                <c:pt idx="8">
                  <c:v>43.75</c:v>
                </c:pt>
                <c:pt idx="9">
                  <c:v>51.025</c:v>
                </c:pt>
                <c:pt idx="10">
                  <c:v>39.6</c:v>
                </c:pt>
                <c:pt idx="11">
                  <c:v>26.15</c:v>
                </c:pt>
                <c:pt idx="12">
                  <c:v>39.85625</c:v>
                </c:pt>
                <c:pt idx="13">
                  <c:v>37.7375</c:v>
                </c:pt>
                <c:pt idx="14">
                  <c:v>42.65</c:v>
                </c:pt>
                <c:pt idx="15">
                  <c:v>32.15625</c:v>
                </c:pt>
                <c:pt idx="16">
                  <c:v>31.1375</c:v>
                </c:pt>
                <c:pt idx="17">
                  <c:v>43.8125</c:v>
                </c:pt>
                <c:pt idx="18">
                  <c:v>46.362500000000004</c:v>
                </c:pt>
                <c:pt idx="19">
                  <c:v>44.456250000000004</c:v>
                </c:pt>
                <c:pt idx="20">
                  <c:v>45.725</c:v>
                </c:pt>
                <c:pt idx="21">
                  <c:v>43.175</c:v>
                </c:pt>
                <c:pt idx="22">
                  <c:v>39.2875</c:v>
                </c:pt>
                <c:pt idx="23">
                  <c:v>45.93125</c:v>
                </c:pt>
                <c:pt idx="24">
                  <c:v>40</c:v>
                </c:pt>
                <c:pt idx="25">
                  <c:v>38.15625</c:v>
                </c:pt>
                <c:pt idx="26">
                  <c:v>42.1875</c:v>
                </c:pt>
                <c:pt idx="27">
                  <c:v>43.893750000000004</c:v>
                </c:pt>
                <c:pt idx="28">
                  <c:v>49.356249999999996</c:v>
                </c:pt>
                <c:pt idx="29">
                  <c:v>43.7125</c:v>
                </c:pt>
                <c:pt idx="30">
                  <c:v>42.268750000000004</c:v>
                </c:pt>
                <c:pt idx="31">
                  <c:v>31.981250000000003</c:v>
                </c:pt>
                <c:pt idx="32">
                  <c:v>27.375</c:v>
                </c:pt>
                <c:pt idx="33">
                  <c:v>40.912499999999994</c:v>
                </c:pt>
                <c:pt idx="34">
                  <c:v>28.79375</c:v>
                </c:pt>
                <c:pt idx="35">
                  <c:v>40</c:v>
                </c:pt>
                <c:pt idx="36">
                  <c:v>35</c:v>
                </c:pt>
                <c:pt idx="37">
                  <c:v>35.625</c:v>
                </c:pt>
                <c:pt idx="38">
                  <c:v>45.625</c:v>
                </c:pt>
                <c:pt idx="39">
                  <c:v>36.875</c:v>
                </c:pt>
                <c:pt idx="40">
                  <c:v>33.125</c:v>
                </c:pt>
                <c:pt idx="41">
                  <c:v>33.550000000000004</c:v>
                </c:pt>
              </c:numCache>
            </c:numRef>
          </c:val>
          <c:smooth val="0"/>
        </c:ser>
        <c:marker val="1"/>
        <c:axId val="8678604"/>
        <c:axId val="10998573"/>
      </c:lineChart>
      <c:dateAx>
        <c:axId val="8678604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857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860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Si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95"/>
          <c:w val="0.0897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878294"/>
        <c:axId val="18469191"/>
      </c:lineChart>
      <c:catAx>
        <c:axId val="31878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29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Si</a:t>
            </a:r>
          </a:p>
        </c:rich>
      </c:tx>
      <c:layout>
        <c:manualLayout>
          <c:xMode val="factor"/>
          <c:yMode val="factor"/>
          <c:x val="0.006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2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data'!$AH$8:$AH$104</c:f>
              <c:numCache>
                <c:ptCount val="97"/>
                <c:pt idx="0">
                  <c:v>351.14285714285717</c:v>
                </c:pt>
                <c:pt idx="1">
                  <c:v>443.28571428571433</c:v>
                </c:pt>
                <c:pt idx="2">
                  <c:v>247.14285714285714</c:v>
                </c:pt>
                <c:pt idx="3">
                  <c:v>386.42857142857144</c:v>
                </c:pt>
                <c:pt idx="4">
                  <c:v>446.8571428571429</c:v>
                </c:pt>
                <c:pt idx="5">
                  <c:v>335.2857142857143</c:v>
                </c:pt>
                <c:pt idx="6">
                  <c:v>315</c:v>
                </c:pt>
                <c:pt idx="7">
                  <c:v>366.14285714285717</c:v>
                </c:pt>
                <c:pt idx="8">
                  <c:v>411.42857142857144</c:v>
                </c:pt>
                <c:pt idx="9">
                  <c:v>359.1428571428571</c:v>
                </c:pt>
                <c:pt idx="10">
                  <c:v>320.5714285714286</c:v>
                </c:pt>
                <c:pt idx="11">
                  <c:v>184.85714285714286</c:v>
                </c:pt>
                <c:pt idx="12">
                  <c:v>322.85714285714283</c:v>
                </c:pt>
                <c:pt idx="13">
                  <c:v>345.14285714285717</c:v>
                </c:pt>
                <c:pt idx="14">
                  <c:v>400.5714285714285</c:v>
                </c:pt>
                <c:pt idx="15">
                  <c:v>305.7142857142857</c:v>
                </c:pt>
                <c:pt idx="16">
                  <c:v>279.99999999999994</c:v>
                </c:pt>
                <c:pt idx="17">
                  <c:v>416.42857142857144</c:v>
                </c:pt>
                <c:pt idx="18">
                  <c:v>435.8571428571429</c:v>
                </c:pt>
                <c:pt idx="19">
                  <c:v>452.4285714285714</c:v>
                </c:pt>
                <c:pt idx="20">
                  <c:v>466.42857142857144</c:v>
                </c:pt>
                <c:pt idx="21">
                  <c:v>408.28571428571433</c:v>
                </c:pt>
                <c:pt idx="22">
                  <c:v>419.57142857142856</c:v>
                </c:pt>
                <c:pt idx="23">
                  <c:v>432.7142857142857</c:v>
                </c:pt>
                <c:pt idx="24">
                  <c:v>423.28571428571433</c:v>
                </c:pt>
                <c:pt idx="25">
                  <c:v>392.4285714285714</c:v>
                </c:pt>
                <c:pt idx="26">
                  <c:v>400.4285714285714</c:v>
                </c:pt>
                <c:pt idx="27">
                  <c:v>398.71428571428567</c:v>
                </c:pt>
                <c:pt idx="28">
                  <c:v>499.14285714285717</c:v>
                </c:pt>
                <c:pt idx="29">
                  <c:v>444.1428571428571</c:v>
                </c:pt>
                <c:pt idx="30">
                  <c:v>347</c:v>
                </c:pt>
                <c:pt idx="31">
                  <c:v>328.57142857142856</c:v>
                </c:pt>
                <c:pt idx="32">
                  <c:v>288.2857142857143</c:v>
                </c:pt>
                <c:pt idx="33">
                  <c:v>385.2857142857143</c:v>
                </c:pt>
                <c:pt idx="34">
                  <c:v>289.42857142857144</c:v>
                </c:pt>
                <c:pt idx="35">
                  <c:v>395.7142857142857</c:v>
                </c:pt>
                <c:pt idx="36">
                  <c:v>312.85714285714283</c:v>
                </c:pt>
                <c:pt idx="37">
                  <c:v>375.7142857142857</c:v>
                </c:pt>
                <c:pt idx="38">
                  <c:v>412.57142857142856</c:v>
                </c:pt>
                <c:pt idx="39">
                  <c:v>342.85714285714283</c:v>
                </c:pt>
                <c:pt idx="40">
                  <c:v>331.4285714285714</c:v>
                </c:pt>
                <c:pt idx="41">
                  <c:v>333.8571428571429</c:v>
                </c:pt>
                <c:pt idx="42">
                  <c:v>620</c:v>
                </c:pt>
                <c:pt idx="43">
                  <c:v>761.4285714285714</c:v>
                </c:pt>
                <c:pt idx="44">
                  <c:v>653.4285714285713</c:v>
                </c:pt>
                <c:pt idx="45">
                  <c:v>416.1428571428571</c:v>
                </c:pt>
                <c:pt idx="46">
                  <c:v>401.57142857142856</c:v>
                </c:pt>
                <c:pt idx="47">
                  <c:v>428.85714285714283</c:v>
                </c:pt>
                <c:pt idx="48">
                  <c:v>431.71428571428567</c:v>
                </c:pt>
                <c:pt idx="49">
                  <c:v>489.7142857142857</c:v>
                </c:pt>
                <c:pt idx="50">
                  <c:v>406.8571428571429</c:v>
                </c:pt>
                <c:pt idx="51">
                  <c:v>429.5714285714286</c:v>
                </c:pt>
                <c:pt idx="52">
                  <c:v>356.5714285714286</c:v>
                </c:pt>
                <c:pt idx="53">
                  <c:v>256.2857142857143</c:v>
                </c:pt>
                <c:pt idx="54">
                  <c:v>428.28571428571433</c:v>
                </c:pt>
                <c:pt idx="55">
                  <c:v>344.5714285714286</c:v>
                </c:pt>
                <c:pt idx="56">
                  <c:v>356.28571428571433</c:v>
                </c:pt>
                <c:pt idx="57">
                  <c:v>409.8571428571429</c:v>
                </c:pt>
                <c:pt idx="58">
                  <c:v>410.8571428571429</c:v>
                </c:pt>
                <c:pt idx="59">
                  <c:v>389.7142857142857</c:v>
                </c:pt>
                <c:pt idx="60">
                  <c:v>262.2857142857143</c:v>
                </c:pt>
                <c:pt idx="61">
                  <c:v>233.4285714285714</c:v>
                </c:pt>
                <c:pt idx="62">
                  <c:v>325</c:v>
                </c:pt>
                <c:pt idx="63">
                  <c:v>281.8571428571429</c:v>
                </c:pt>
                <c:pt idx="64">
                  <c:v>358.57142857142856</c:v>
                </c:pt>
                <c:pt idx="65">
                  <c:v>311.42857142857144</c:v>
                </c:pt>
                <c:pt idx="66">
                  <c:v>239.42857142857142</c:v>
                </c:pt>
                <c:pt idx="67">
                  <c:v>318.42857142857144</c:v>
                </c:pt>
                <c:pt idx="68">
                  <c:v>380</c:v>
                </c:pt>
                <c:pt idx="69">
                  <c:v>384.7142857142857</c:v>
                </c:pt>
                <c:pt idx="70">
                  <c:v>351.57142857142856</c:v>
                </c:pt>
                <c:pt idx="71">
                  <c:v>400.85714285714283</c:v>
                </c:pt>
                <c:pt idx="72">
                  <c:v>348.7142857142857</c:v>
                </c:pt>
                <c:pt idx="73">
                  <c:v>265.57142857142856</c:v>
                </c:pt>
                <c:pt idx="74">
                  <c:v>285.28571428571433</c:v>
                </c:pt>
                <c:pt idx="75">
                  <c:v>264.1428571428571</c:v>
                </c:pt>
                <c:pt idx="76">
                  <c:v>289.8571428571429</c:v>
                </c:pt>
                <c:pt idx="77">
                  <c:v>289.00000000000006</c:v>
                </c:pt>
                <c:pt idx="78">
                  <c:v>278.2857142857143</c:v>
                </c:pt>
                <c:pt idx="79">
                  <c:v>260.2857142857143</c:v>
                </c:pt>
                <c:pt idx="80">
                  <c:v>173.8571428571429</c:v>
                </c:pt>
                <c:pt idx="81">
                  <c:v>142.07142857142858</c:v>
                </c:pt>
                <c:pt idx="82">
                  <c:v>297.42857142857144</c:v>
                </c:pt>
                <c:pt idx="83">
                  <c:v>262.85714285714283</c:v>
                </c:pt>
                <c:pt idx="84">
                  <c:v>112.68571428571428</c:v>
                </c:pt>
                <c:pt idx="85">
                  <c:v>344.7142857142857</c:v>
                </c:pt>
                <c:pt idx="86">
                  <c:v>135.22857142857143</c:v>
                </c:pt>
                <c:pt idx="87">
                  <c:v>311.85714285714283</c:v>
                </c:pt>
                <c:pt idx="88">
                  <c:v>247.57142857142858</c:v>
                </c:pt>
                <c:pt idx="89">
                  <c:v>233.28571428571428</c:v>
                </c:pt>
                <c:pt idx="90">
                  <c:v>157.28571428571428</c:v>
                </c:pt>
                <c:pt idx="91">
                  <c:v>183.28571428571428</c:v>
                </c:pt>
                <c:pt idx="92">
                  <c:v>391.1428571428571</c:v>
                </c:pt>
                <c:pt idx="93">
                  <c:v>214.28571428571428</c:v>
                </c:pt>
                <c:pt idx="94">
                  <c:v>167.99999999999997</c:v>
                </c:pt>
                <c:pt idx="95">
                  <c:v>251.71428571428572</c:v>
                </c:pt>
                <c:pt idx="96">
                  <c:v>181.28571428571428</c:v>
                </c:pt>
              </c:numCache>
            </c:numRef>
          </c:val>
          <c:smooth val="0"/>
        </c:ser>
        <c:marker val="1"/>
        <c:axId val="32004992"/>
        <c:axId val="19609473"/>
      </c:lineChart>
      <c:dateAx>
        <c:axId val="32004992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2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-S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685"/>
          <c:w val="0.089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267530"/>
        <c:axId val="44863451"/>
      </c:lineChart>
      <c:cat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955"/>
          <c:w val="0.92225"/>
          <c:h val="0.63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data'!$AP$8:$AP$104</c:f>
              <c:numCache>
                <c:ptCount val="97"/>
                <c:pt idx="0">
                  <c:v>36.43125</c:v>
                </c:pt>
                <c:pt idx="1">
                  <c:v>42.40625</c:v>
                </c:pt>
                <c:pt idx="2">
                  <c:v>25.45</c:v>
                </c:pt>
                <c:pt idx="3">
                  <c:v>40.743750000000006</c:v>
                </c:pt>
                <c:pt idx="4">
                  <c:v>42.9125</c:v>
                </c:pt>
                <c:pt idx="5">
                  <c:v>34.925</c:v>
                </c:pt>
                <c:pt idx="6">
                  <c:v>34.6625</c:v>
                </c:pt>
                <c:pt idx="7">
                  <c:v>42.225</c:v>
                </c:pt>
                <c:pt idx="8">
                  <c:v>41.875</c:v>
                </c:pt>
                <c:pt idx="9">
                  <c:v>46.3125</c:v>
                </c:pt>
                <c:pt idx="10">
                  <c:v>35.0125</c:v>
                </c:pt>
                <c:pt idx="11">
                  <c:v>28.04375</c:v>
                </c:pt>
                <c:pt idx="12">
                  <c:v>35.893750000000004</c:v>
                </c:pt>
                <c:pt idx="13">
                  <c:v>34.93125</c:v>
                </c:pt>
                <c:pt idx="14">
                  <c:v>39.512499999999996</c:v>
                </c:pt>
                <c:pt idx="15">
                  <c:v>28.206249999999997</c:v>
                </c:pt>
                <c:pt idx="16">
                  <c:v>26.30625</c:v>
                </c:pt>
                <c:pt idx="17">
                  <c:v>44.45</c:v>
                </c:pt>
                <c:pt idx="18">
                  <c:v>46.25625</c:v>
                </c:pt>
                <c:pt idx="19">
                  <c:v>41</c:v>
                </c:pt>
                <c:pt idx="20">
                  <c:v>43.456250000000004</c:v>
                </c:pt>
                <c:pt idx="21">
                  <c:v>37.85625</c:v>
                </c:pt>
                <c:pt idx="22">
                  <c:v>37.456250000000004</c:v>
                </c:pt>
                <c:pt idx="23">
                  <c:v>40.16875</c:v>
                </c:pt>
                <c:pt idx="24">
                  <c:v>39.0375</c:v>
                </c:pt>
                <c:pt idx="25">
                  <c:v>34.49375</c:v>
                </c:pt>
                <c:pt idx="26">
                  <c:v>39.35625</c:v>
                </c:pt>
                <c:pt idx="27">
                  <c:v>39.53125</c:v>
                </c:pt>
                <c:pt idx="28">
                  <c:v>46.8125</c:v>
                </c:pt>
                <c:pt idx="29">
                  <c:v>41.243750000000006</c:v>
                </c:pt>
                <c:pt idx="30">
                  <c:v>36.375</c:v>
                </c:pt>
                <c:pt idx="31">
                  <c:v>34.3875</c:v>
                </c:pt>
                <c:pt idx="32">
                  <c:v>29.8125</c:v>
                </c:pt>
                <c:pt idx="33">
                  <c:v>38.7125</c:v>
                </c:pt>
                <c:pt idx="34">
                  <c:v>26.003812500000002</c:v>
                </c:pt>
                <c:pt idx="35">
                  <c:v>39.5625</c:v>
                </c:pt>
                <c:pt idx="36">
                  <c:v>32.625</c:v>
                </c:pt>
                <c:pt idx="37">
                  <c:v>35.625</c:v>
                </c:pt>
                <c:pt idx="38">
                  <c:v>33.5</c:v>
                </c:pt>
                <c:pt idx="39">
                  <c:v>36.875</c:v>
                </c:pt>
                <c:pt idx="40">
                  <c:v>33.0625</c:v>
                </c:pt>
                <c:pt idx="41">
                  <c:v>34.981249999999996</c:v>
                </c:pt>
                <c:pt idx="42">
                  <c:v>40.0625</c:v>
                </c:pt>
                <c:pt idx="43">
                  <c:v>39.875</c:v>
                </c:pt>
                <c:pt idx="44">
                  <c:v>33.83125</c:v>
                </c:pt>
                <c:pt idx="45">
                  <c:v>36.837500000000006</c:v>
                </c:pt>
                <c:pt idx="46">
                  <c:v>34.1</c:v>
                </c:pt>
                <c:pt idx="47">
                  <c:v>37.36875</c:v>
                </c:pt>
                <c:pt idx="48">
                  <c:v>36.0576875</c:v>
                </c:pt>
                <c:pt idx="49">
                  <c:v>39.65275</c:v>
                </c:pt>
                <c:pt idx="50">
                  <c:v>33.83125</c:v>
                </c:pt>
                <c:pt idx="51">
                  <c:v>40.39375</c:v>
                </c:pt>
                <c:pt idx="52">
                  <c:v>35.081250000000004</c:v>
                </c:pt>
                <c:pt idx="53">
                  <c:v>25.06875</c:v>
                </c:pt>
                <c:pt idx="54">
                  <c:v>36.887499999999996</c:v>
                </c:pt>
                <c:pt idx="55">
                  <c:v>38.9125</c:v>
                </c:pt>
                <c:pt idx="56">
                  <c:v>36.0625</c:v>
                </c:pt>
                <c:pt idx="57">
                  <c:v>40.43125</c:v>
                </c:pt>
                <c:pt idx="58">
                  <c:v>33.825</c:v>
                </c:pt>
                <c:pt idx="59">
                  <c:v>37.125</c:v>
                </c:pt>
                <c:pt idx="60">
                  <c:v>30.412499999999998</c:v>
                </c:pt>
                <c:pt idx="61">
                  <c:v>35.0375</c:v>
                </c:pt>
                <c:pt idx="62">
                  <c:v>38.74375</c:v>
                </c:pt>
                <c:pt idx="63">
                  <c:v>28.61875</c:v>
                </c:pt>
                <c:pt idx="64">
                  <c:v>35.9125</c:v>
                </c:pt>
                <c:pt idx="65">
                  <c:v>33.368750000000006</c:v>
                </c:pt>
                <c:pt idx="66">
                  <c:v>26.6125</c:v>
                </c:pt>
                <c:pt idx="67">
                  <c:v>32.33125</c:v>
                </c:pt>
                <c:pt idx="68">
                  <c:v>35.81875</c:v>
                </c:pt>
                <c:pt idx="69">
                  <c:v>37.58125</c:v>
                </c:pt>
                <c:pt idx="70">
                  <c:v>34.31875</c:v>
                </c:pt>
                <c:pt idx="71">
                  <c:v>38.512499999999996</c:v>
                </c:pt>
                <c:pt idx="72">
                  <c:v>34.1625</c:v>
                </c:pt>
                <c:pt idx="73">
                  <c:v>33.675</c:v>
                </c:pt>
                <c:pt idx="74">
                  <c:v>36.9875</c:v>
                </c:pt>
                <c:pt idx="75">
                  <c:v>31.325</c:v>
                </c:pt>
                <c:pt idx="76">
                  <c:v>37.95625</c:v>
                </c:pt>
                <c:pt idx="77">
                  <c:v>38.85</c:v>
                </c:pt>
                <c:pt idx="78">
                  <c:v>35.9875</c:v>
                </c:pt>
                <c:pt idx="79">
                  <c:v>31.975000000000005</c:v>
                </c:pt>
                <c:pt idx="80">
                  <c:v>24.2875</c:v>
                </c:pt>
                <c:pt idx="81">
                  <c:v>17.4875</c:v>
                </c:pt>
                <c:pt idx="82">
                  <c:v>36.04375</c:v>
                </c:pt>
                <c:pt idx="83">
                  <c:v>31.256249999999998</c:v>
                </c:pt>
                <c:pt idx="84">
                  <c:v>11.78125</c:v>
                </c:pt>
                <c:pt idx="85">
                  <c:v>37.51875</c:v>
                </c:pt>
                <c:pt idx="86">
                  <c:v>16.5125</c:v>
                </c:pt>
                <c:pt idx="87">
                  <c:v>35.875</c:v>
                </c:pt>
                <c:pt idx="88">
                  <c:v>38.6875</c:v>
                </c:pt>
                <c:pt idx="89">
                  <c:v>35.425</c:v>
                </c:pt>
                <c:pt idx="90">
                  <c:v>27.66875</c:v>
                </c:pt>
                <c:pt idx="91">
                  <c:v>30.412499999999998</c:v>
                </c:pt>
                <c:pt idx="92">
                  <c:v>39.46875</c:v>
                </c:pt>
                <c:pt idx="93">
                  <c:v>27.8875</c:v>
                </c:pt>
                <c:pt idx="94">
                  <c:v>41.8375</c:v>
                </c:pt>
                <c:pt idx="95">
                  <c:v>36.36875</c:v>
                </c:pt>
                <c:pt idx="96">
                  <c:v>32.54375</c:v>
                </c:pt>
              </c:numCache>
            </c:numRef>
          </c:val>
          <c:smooth val="0"/>
        </c:ser>
        <c:marker val="1"/>
        <c:axId val="1117876"/>
        <c:axId val="10060885"/>
      </c:lineChart>
      <c:dateAx>
        <c:axId val="111787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87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Total Anions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208"/>
          <c:w val="0.08975"/>
          <c:h val="0.76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439102"/>
        <c:axId val="9625327"/>
      </c:lineChart>
      <c:cat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Cation:Anion ratio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625"/>
          <c:w val="0.926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data'!$BQ$8:$BQ$104</c:f>
              <c:numCache>
                <c:ptCount val="97"/>
                <c:pt idx="0">
                  <c:v>1.2963817212260345</c:v>
                </c:pt>
                <c:pt idx="1">
                  <c:v>1.5064787764761656</c:v>
                </c:pt>
                <c:pt idx="2">
                  <c:v>1.6102406319762066</c:v>
                </c:pt>
                <c:pt idx="3">
                  <c:v>1.3838742987427906</c:v>
                </c:pt>
                <c:pt idx="4">
                  <c:v>1.437207546394756</c:v>
                </c:pt>
                <c:pt idx="5">
                  <c:v>1.4184246208276525</c:v>
                </c:pt>
                <c:pt idx="6">
                  <c:v>0.906585238960726</c:v>
                </c:pt>
                <c:pt idx="7">
                  <c:v>1.1700000682632563</c:v>
                </c:pt>
                <c:pt idx="8">
                  <c:v>1.2104272725761716</c:v>
                </c:pt>
                <c:pt idx="9">
                  <c:v>1.085894710663093</c:v>
                </c:pt>
                <c:pt idx="10">
                  <c:v>1.138915637902789</c:v>
                </c:pt>
                <c:pt idx="11">
                  <c:v>1.1480869185387383</c:v>
                </c:pt>
                <c:pt idx="12">
                  <c:v>1.2410585016136972</c:v>
                </c:pt>
                <c:pt idx="13">
                  <c:v>1.3301730927302569</c:v>
                </c:pt>
                <c:pt idx="14">
                  <c:v>1.424870449196606</c:v>
                </c:pt>
                <c:pt idx="15">
                  <c:v>1.3639841598726727</c:v>
                </c:pt>
                <c:pt idx="16">
                  <c:v>1.5017095363148436</c:v>
                </c:pt>
                <c:pt idx="17">
                  <c:v>1.2919409709237613</c:v>
                </c:pt>
                <c:pt idx="18">
                  <c:v>1.265725559651977</c:v>
                </c:pt>
                <c:pt idx="19">
                  <c:v>1.5151419260498604</c:v>
                </c:pt>
                <c:pt idx="20">
                  <c:v>1.4387165694494413</c:v>
                </c:pt>
                <c:pt idx="21">
                  <c:v>1.4911530359557417</c:v>
                </c:pt>
                <c:pt idx="22">
                  <c:v>1.5235513494999393</c:v>
                </c:pt>
                <c:pt idx="23">
                  <c:v>1.3862668141089791</c:v>
                </c:pt>
                <c:pt idx="24">
                  <c:v>1.3578867498797076</c:v>
                </c:pt>
                <c:pt idx="25">
                  <c:v>1.4083382667536253</c:v>
                </c:pt>
                <c:pt idx="26">
                  <c:v>1.2030011855088973</c:v>
                </c:pt>
                <c:pt idx="27">
                  <c:v>1.245903459854337</c:v>
                </c:pt>
                <c:pt idx="28">
                  <c:v>1.2832755812420387</c:v>
                </c:pt>
                <c:pt idx="29">
                  <c:v>1.4972286483127755</c:v>
                </c:pt>
                <c:pt idx="30">
                  <c:v>1.2849476596462817</c:v>
                </c:pt>
                <c:pt idx="31">
                  <c:v>1.4037069043947168</c:v>
                </c:pt>
                <c:pt idx="32">
                  <c:v>1.5870117082976751</c:v>
                </c:pt>
                <c:pt idx="33">
                  <c:v>1.3961897581454743</c:v>
                </c:pt>
                <c:pt idx="34">
                  <c:v>1.2949445481950437</c:v>
                </c:pt>
                <c:pt idx="35">
                  <c:v>1.428008917262221</c:v>
                </c:pt>
                <c:pt idx="36">
                  <c:v>1.5600634263052793</c:v>
                </c:pt>
                <c:pt idx="37">
                  <c:v>1.518012393079839</c:v>
                </c:pt>
                <c:pt idx="38">
                  <c:v>1.68473860235874</c:v>
                </c:pt>
                <c:pt idx="39">
                  <c:v>1.2050177446832548</c:v>
                </c:pt>
                <c:pt idx="40">
                  <c:v>1.2326032897738588</c:v>
                </c:pt>
                <c:pt idx="41">
                  <c:v>1.4086623801479754</c:v>
                </c:pt>
                <c:pt idx="42">
                  <c:v>1.5480272470642291</c:v>
                </c:pt>
                <c:pt idx="43">
                  <c:v>1.9445465953848478</c:v>
                </c:pt>
                <c:pt idx="44">
                  <c:v>1.702386920080897</c:v>
                </c:pt>
                <c:pt idx="45">
                  <c:v>1.63631879887254</c:v>
                </c:pt>
                <c:pt idx="46">
                  <c:v>1.9206510666184584</c:v>
                </c:pt>
                <c:pt idx="47">
                  <c:v>1.654540701368921</c:v>
                </c:pt>
                <c:pt idx="48">
                  <c:v>1.7687238749360525</c:v>
                </c:pt>
                <c:pt idx="49">
                  <c:v>1.7809898853118358</c:v>
                </c:pt>
                <c:pt idx="50">
                  <c:v>1.63422956737443</c:v>
                </c:pt>
                <c:pt idx="51">
                  <c:v>1.2536874232180424</c:v>
                </c:pt>
                <c:pt idx="52">
                  <c:v>1.1171511746374838</c:v>
                </c:pt>
                <c:pt idx="53">
                  <c:v>1.26325723922025</c:v>
                </c:pt>
                <c:pt idx="54">
                  <c:v>1.3654557187181922</c:v>
                </c:pt>
                <c:pt idx="55">
                  <c:v>0.981101470826542</c:v>
                </c:pt>
                <c:pt idx="56">
                  <c:v>1.254973205450026</c:v>
                </c:pt>
                <c:pt idx="57">
                  <c:v>1.4277362737061308</c:v>
                </c:pt>
                <c:pt idx="58">
                  <c:v>1.6498625488623544</c:v>
                </c:pt>
                <c:pt idx="59">
                  <c:v>2.1770697426512395</c:v>
                </c:pt>
                <c:pt idx="60">
                  <c:v>1.9946997083777123</c:v>
                </c:pt>
                <c:pt idx="61">
                  <c:v>1.8116085511419624</c:v>
                </c:pt>
                <c:pt idx="62">
                  <c:v>0.7974341068969878</c:v>
                </c:pt>
                <c:pt idx="63">
                  <c:v>1.4986880275324894</c:v>
                </c:pt>
                <c:pt idx="64">
                  <c:v>1.3772830631068584</c:v>
                </c:pt>
                <c:pt idx="65">
                  <c:v>3.9444527794485746</c:v>
                </c:pt>
                <c:pt idx="66">
                  <c:v>1.5049912620967116</c:v>
                </c:pt>
                <c:pt idx="67">
                  <c:v>1.628796599282</c:v>
                </c:pt>
                <c:pt idx="68">
                  <c:v>1.8948781047830523</c:v>
                </c:pt>
                <c:pt idx="69">
                  <c:v>1.7376328338979685</c:v>
                </c:pt>
                <c:pt idx="70">
                  <c:v>1.791390722932547</c:v>
                </c:pt>
                <c:pt idx="71">
                  <c:v>1.5809132743620593</c:v>
                </c:pt>
                <c:pt idx="72">
                  <c:v>1.7520502150132717</c:v>
                </c:pt>
                <c:pt idx="73">
                  <c:v>1.4446250928153492</c:v>
                </c:pt>
                <c:pt idx="74">
                  <c:v>1.735049098583663</c:v>
                </c:pt>
                <c:pt idx="75">
                  <c:v>1.8399282599560285</c:v>
                </c:pt>
                <c:pt idx="76">
                  <c:v>1.7321251792513586</c:v>
                </c:pt>
                <c:pt idx="77">
                  <c:v>1.7719179449895068</c:v>
                </c:pt>
                <c:pt idx="78">
                  <c:v>1.503236859039494</c:v>
                </c:pt>
                <c:pt idx="79">
                  <c:v>1.5244380037243495</c:v>
                </c:pt>
                <c:pt idx="80">
                  <c:v>1.7364966566872522</c:v>
                </c:pt>
                <c:pt idx="81">
                  <c:v>1.9777926999503377</c:v>
                </c:pt>
                <c:pt idx="82">
                  <c:v>1.4630534939805002</c:v>
                </c:pt>
                <c:pt idx="83">
                  <c:v>1.6081560613056014</c:v>
                </c:pt>
                <c:pt idx="84">
                  <c:v>2.274175774835188</c:v>
                </c:pt>
                <c:pt idx="85">
                  <c:v>2.004046775107149</c:v>
                </c:pt>
                <c:pt idx="86">
                  <c:v>2.632950665965292</c:v>
                </c:pt>
                <c:pt idx="87">
                  <c:v>2.5408815799905327</c:v>
                </c:pt>
                <c:pt idx="88">
                  <c:v>1.9428612960713174</c:v>
                </c:pt>
                <c:pt idx="89">
                  <c:v>1.4863445737634886</c:v>
                </c:pt>
                <c:pt idx="90">
                  <c:v>1.2040285191424467</c:v>
                </c:pt>
                <c:pt idx="91">
                  <c:v>1.3113930838632228</c:v>
                </c:pt>
                <c:pt idx="92">
                  <c:v>1.9529853848938739</c:v>
                </c:pt>
                <c:pt idx="93">
                  <c:v>1.4696738890432979</c:v>
                </c:pt>
                <c:pt idx="94">
                  <c:v>1.0687183032876946</c:v>
                </c:pt>
                <c:pt idx="95">
                  <c:v>1.328529814918496</c:v>
                </c:pt>
                <c:pt idx="96">
                  <c:v>1.6326080952771287</c:v>
                </c:pt>
              </c:numCache>
            </c:numRef>
          </c:val>
          <c:smooth val="0"/>
        </c:ser>
        <c:marker val="1"/>
        <c:axId val="54594624"/>
        <c:axId val="21589569"/>
      </c:lineChart>
      <c:dateAx>
        <c:axId val="54594624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956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15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Cation:Anion ratio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62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Total Anions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data'!$BP$8:$BP$104</c:f>
              <c:numCache>
                <c:ptCount val="97"/>
                <c:pt idx="0">
                  <c:v>108.13150714285715</c:v>
                </c:pt>
                <c:pt idx="1">
                  <c:v>119.26625</c:v>
                </c:pt>
                <c:pt idx="2">
                  <c:v>109.6109857142857</c:v>
                </c:pt>
                <c:pt idx="3">
                  <c:v>122.24446428571429</c:v>
                </c:pt>
                <c:pt idx="4">
                  <c:v>126.97321428571428</c:v>
                </c:pt>
                <c:pt idx="5">
                  <c:v>120.47928571428571</c:v>
                </c:pt>
                <c:pt idx="6">
                  <c:v>140.2225</c:v>
                </c:pt>
                <c:pt idx="7">
                  <c:v>171.4785714285714</c:v>
                </c:pt>
                <c:pt idx="8">
                  <c:v>157.86071428571427</c:v>
                </c:pt>
                <c:pt idx="9">
                  <c:v>231.90064285714283</c:v>
                </c:pt>
                <c:pt idx="10">
                  <c:v>125.16964285714286</c:v>
                </c:pt>
                <c:pt idx="11">
                  <c:v>157.74946428571428</c:v>
                </c:pt>
                <c:pt idx="12">
                  <c:v>143.51410714285714</c:v>
                </c:pt>
                <c:pt idx="13">
                  <c:v>131.8363214285714</c:v>
                </c:pt>
                <c:pt idx="14">
                  <c:v>125.64787142857142</c:v>
                </c:pt>
                <c:pt idx="15">
                  <c:v>120.73989285714286</c:v>
                </c:pt>
                <c:pt idx="16">
                  <c:v>109.23610714285714</c:v>
                </c:pt>
                <c:pt idx="17">
                  <c:v>141.55642857142857</c:v>
                </c:pt>
                <c:pt idx="18">
                  <c:v>145.04289285714287</c:v>
                </c:pt>
                <c:pt idx="19">
                  <c:v>126.93080714285713</c:v>
                </c:pt>
                <c:pt idx="20">
                  <c:v>136.9050285714286</c:v>
                </c:pt>
                <c:pt idx="21">
                  <c:v>126.15917857142855</c:v>
                </c:pt>
                <c:pt idx="22">
                  <c:v>120.10132142857144</c:v>
                </c:pt>
                <c:pt idx="23">
                  <c:v>135.88660714285714</c:v>
                </c:pt>
                <c:pt idx="24">
                  <c:v>128.1725</c:v>
                </c:pt>
                <c:pt idx="25">
                  <c:v>120.67946428571427</c:v>
                </c:pt>
                <c:pt idx="26">
                  <c:v>142.68932142857142</c:v>
                </c:pt>
                <c:pt idx="27">
                  <c:v>139.61910714285713</c:v>
                </c:pt>
                <c:pt idx="28">
                  <c:v>153.2825</c:v>
                </c:pt>
                <c:pt idx="29">
                  <c:v>131.64660714285714</c:v>
                </c:pt>
                <c:pt idx="30">
                  <c:v>122.535</c:v>
                </c:pt>
                <c:pt idx="31">
                  <c:v>116.34464285714284</c:v>
                </c:pt>
                <c:pt idx="32">
                  <c:v>105.09964285714285</c:v>
                </c:pt>
                <c:pt idx="33">
                  <c:v>117.06821428571428</c:v>
                </c:pt>
                <c:pt idx="34">
                  <c:v>130.5253482142857</c:v>
                </c:pt>
                <c:pt idx="35">
                  <c:v>123.37678571428572</c:v>
                </c:pt>
                <c:pt idx="36">
                  <c:v>111.99642857142857</c:v>
                </c:pt>
                <c:pt idx="37">
                  <c:v>116.55357142857142</c:v>
                </c:pt>
                <c:pt idx="38">
                  <c:v>108.02857142857141</c:v>
                </c:pt>
                <c:pt idx="39">
                  <c:v>160.075</c:v>
                </c:pt>
                <c:pt idx="40">
                  <c:v>138.9625</c:v>
                </c:pt>
                <c:pt idx="41">
                  <c:v>157.89910714285713</c:v>
                </c:pt>
                <c:pt idx="42">
                  <c:v>143.0625</c:v>
                </c:pt>
                <c:pt idx="43">
                  <c:v>133.34642857142856</c:v>
                </c:pt>
                <c:pt idx="44">
                  <c:v>126.51267857142858</c:v>
                </c:pt>
                <c:pt idx="45">
                  <c:v>138.70892857142857</c:v>
                </c:pt>
                <c:pt idx="46">
                  <c:v>105.71428571428571</c:v>
                </c:pt>
                <c:pt idx="47">
                  <c:v>120.92017857142858</c:v>
                </c:pt>
                <c:pt idx="48">
                  <c:v>126.45054464285715</c:v>
                </c:pt>
                <c:pt idx="49">
                  <c:v>130.77332142857142</c:v>
                </c:pt>
                <c:pt idx="50">
                  <c:v>117.59410714285714</c:v>
                </c:pt>
                <c:pt idx="51">
                  <c:v>129.05517857142857</c:v>
                </c:pt>
                <c:pt idx="52">
                  <c:v>140.58410714285716</c:v>
                </c:pt>
                <c:pt idx="53">
                  <c:v>116.52253571428572</c:v>
                </c:pt>
                <c:pt idx="54">
                  <c:v>127.07107142857143</c:v>
                </c:pt>
                <c:pt idx="55">
                  <c:v>180.1952857142857</c:v>
                </c:pt>
                <c:pt idx="56">
                  <c:v>123.60107142857143</c:v>
                </c:pt>
                <c:pt idx="57">
                  <c:v>134.00012857142855</c:v>
                </c:pt>
                <c:pt idx="58">
                  <c:v>121.02000000000001</c:v>
                </c:pt>
                <c:pt idx="59">
                  <c:v>117.02285714285715</c:v>
                </c:pt>
                <c:pt idx="60">
                  <c:v>119.12608571428572</c:v>
                </c:pt>
                <c:pt idx="61">
                  <c:v>120.29287142857142</c:v>
                </c:pt>
                <c:pt idx="62">
                  <c:v>211.0351785714286</c:v>
                </c:pt>
                <c:pt idx="63">
                  <c:v>133.56910714285715</c:v>
                </c:pt>
                <c:pt idx="64">
                  <c:v>149.5024285714286</c:v>
                </c:pt>
                <c:pt idx="65">
                  <c:v>46.761607142857144</c:v>
                </c:pt>
                <c:pt idx="66">
                  <c:v>135.9582142857143</c:v>
                </c:pt>
                <c:pt idx="67">
                  <c:v>117.83851428571428</c:v>
                </c:pt>
                <c:pt idx="68">
                  <c:v>114.93267857142858</c:v>
                </c:pt>
                <c:pt idx="69">
                  <c:v>123.3905357142857</c:v>
                </c:pt>
                <c:pt idx="70">
                  <c:v>120.72717857142857</c:v>
                </c:pt>
                <c:pt idx="71">
                  <c:v>123.11017142857142</c:v>
                </c:pt>
                <c:pt idx="72">
                  <c:v>116.02357142857144</c:v>
                </c:pt>
                <c:pt idx="73">
                  <c:v>112.61071428571427</c:v>
                </c:pt>
                <c:pt idx="74">
                  <c:v>124.63499999999999</c:v>
                </c:pt>
                <c:pt idx="75">
                  <c:v>114.31945</c:v>
                </c:pt>
                <c:pt idx="76">
                  <c:v>124.48517857142858</c:v>
                </c:pt>
                <c:pt idx="77">
                  <c:v>121.90568571428571</c:v>
                </c:pt>
                <c:pt idx="78">
                  <c:v>120.80250000000001</c:v>
                </c:pt>
                <c:pt idx="79">
                  <c:v>114.2387142857143</c:v>
                </c:pt>
                <c:pt idx="80">
                  <c:v>77.49421428571429</c:v>
                </c:pt>
                <c:pt idx="81">
                  <c:v>59.50607142857143</c:v>
                </c:pt>
                <c:pt idx="82">
                  <c:v>115.62589285714287</c:v>
                </c:pt>
                <c:pt idx="83">
                  <c:v>101.30446428571429</c:v>
                </c:pt>
                <c:pt idx="84">
                  <c:v>80.68889285714285</c:v>
                </c:pt>
                <c:pt idx="85">
                  <c:v>125.91515</c:v>
                </c:pt>
                <c:pt idx="86">
                  <c:v>59.647571428571425</c:v>
                </c:pt>
                <c:pt idx="87">
                  <c:v>104.8107142857143</c:v>
                </c:pt>
                <c:pt idx="88">
                  <c:v>120.05178571428571</c:v>
                </c:pt>
                <c:pt idx="89">
                  <c:v>111.82714285714285</c:v>
                </c:pt>
                <c:pt idx="90">
                  <c:v>108.97039285714287</c:v>
                </c:pt>
                <c:pt idx="91">
                  <c:v>113.50035714285714</c:v>
                </c:pt>
                <c:pt idx="92">
                  <c:v>119.91517857142856</c:v>
                </c:pt>
                <c:pt idx="93">
                  <c:v>98.39271428571428</c:v>
                </c:pt>
                <c:pt idx="94">
                  <c:v>160.80178571428573</c:v>
                </c:pt>
                <c:pt idx="95">
                  <c:v>118.13303571428571</c:v>
                </c:pt>
                <c:pt idx="96">
                  <c:v>112.82232142857143</c:v>
                </c:pt>
              </c:numCache>
            </c:numRef>
          </c:val>
          <c:smooth val="0"/>
        </c:ser>
        <c:marker val="1"/>
        <c:axId val="19519080"/>
        <c:axId val="41453993"/>
      </c:lineChart>
      <c:dateAx>
        <c:axId val="1951908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Total Cations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208"/>
          <c:w val="0.08975"/>
          <c:h val="0.76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541618"/>
        <c:axId val="2330243"/>
      </c:lineChart>
      <c:catAx>
        <c:axId val="3754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Total Cations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data'!$BO$8:$BO$104</c:f>
              <c:numCache>
                <c:ptCount val="97"/>
                <c:pt idx="0">
                  <c:v>140.1797093486224</c:v>
                </c:pt>
                <c:pt idx="1">
                  <c:v>179.6720743749005</c:v>
                </c:pt>
                <c:pt idx="2">
                  <c:v>176.50006290810637</c:v>
                </c:pt>
                <c:pt idx="3">
                  <c:v>169.17097228858097</c:v>
                </c:pt>
                <c:pt idx="4">
                  <c:v>182.486861761427</c:v>
                </c:pt>
                <c:pt idx="5">
                  <c:v>170.8907851568721</c:v>
                </c:pt>
                <c:pt idx="6">
                  <c:v>127.1236486701704</c:v>
                </c:pt>
                <c:pt idx="7">
                  <c:v>200.6299402771142</c:v>
                </c:pt>
                <c:pt idx="8">
                  <c:v>191.0789138397834</c:v>
                </c:pt>
                <c:pt idx="9">
                  <c:v>251.81968147794237</c:v>
                </c:pt>
                <c:pt idx="10">
                  <c:v>142.55766364070712</c:v>
                </c:pt>
                <c:pt idx="11">
                  <c:v>181.11009635292245</c:v>
                </c:pt>
                <c:pt idx="12">
                  <c:v>178.1094027711419</c:v>
                </c:pt>
                <c:pt idx="13">
                  <c:v>175.36512740882307</c:v>
                </c:pt>
                <c:pt idx="14">
                  <c:v>179.03193900302597</c:v>
                </c:pt>
                <c:pt idx="15">
                  <c:v>164.68730132186653</c:v>
                </c:pt>
                <c:pt idx="16">
                  <c:v>164.04090380633858</c:v>
                </c:pt>
                <c:pt idx="17">
                  <c:v>182.8825497690715</c:v>
                </c:pt>
                <c:pt idx="18">
                  <c:v>183.5844967351489</c:v>
                </c:pt>
                <c:pt idx="19">
                  <c:v>192.31818760949193</c:v>
                </c:pt>
                <c:pt idx="20">
                  <c:v>196.9675330466635</c:v>
                </c:pt>
                <c:pt idx="21">
                  <c:v>188.12264214046823</c:v>
                </c:pt>
                <c:pt idx="22">
                  <c:v>182.980530339226</c:v>
                </c:pt>
                <c:pt idx="23">
                  <c:v>188.37509396400702</c:v>
                </c:pt>
                <c:pt idx="24">
                  <c:v>174.04373944895684</c:v>
                </c:pt>
                <c:pt idx="25">
                  <c:v>169.95750756489886</c:v>
                </c:pt>
                <c:pt idx="26">
                  <c:v>171.65542283803154</c:v>
                </c:pt>
                <c:pt idx="27">
                  <c:v>173.9519286510591</c:v>
                </c:pt>
                <c:pt idx="28">
                  <c:v>196.70368928173278</c:v>
                </c:pt>
                <c:pt idx="29">
                  <c:v>197.10507166746297</c:v>
                </c:pt>
                <c:pt idx="30">
                  <c:v>157.45106147475713</c:v>
                </c:pt>
                <c:pt idx="31">
                  <c:v>163.3137784679089</c:v>
                </c:pt>
                <c:pt idx="32">
                  <c:v>166.79436375218984</c:v>
                </c:pt>
                <c:pt idx="33">
                  <c:v>163.44944179009397</c:v>
                </c:pt>
                <c:pt idx="34">
                  <c:v>169.02308807134895</c:v>
                </c:pt>
                <c:pt idx="35">
                  <c:v>176.1831501831502</c:v>
                </c:pt>
                <c:pt idx="36">
                  <c:v>174.72153209109732</c:v>
                </c:pt>
                <c:pt idx="37">
                  <c:v>176.92976588628764</c:v>
                </c:pt>
                <c:pt idx="38">
                  <c:v>181.99990444338272</c:v>
                </c:pt>
                <c:pt idx="39">
                  <c:v>192.893215480172</c:v>
                </c:pt>
                <c:pt idx="40">
                  <c:v>171.28563465519986</c:v>
                </c:pt>
                <c:pt idx="41">
                  <c:v>222.4265320910973</c:v>
                </c:pt>
                <c:pt idx="42">
                  <c:v>221.46464803312628</c:v>
                </c:pt>
                <c:pt idx="43">
                  <c:v>259.2983436853002</c:v>
                </c:pt>
                <c:pt idx="44">
                  <c:v>215.3735292243988</c:v>
                </c:pt>
                <c:pt idx="45">
                  <c:v>226.97202739289696</c:v>
                </c:pt>
                <c:pt idx="46">
                  <c:v>203.0402556139513</c:v>
                </c:pt>
                <c:pt idx="47">
                  <c:v>200.0673570632266</c:v>
                </c:pt>
                <c:pt idx="48">
                  <c:v>223.6560973084886</c:v>
                </c:pt>
                <c:pt idx="49">
                  <c:v>232.90596273291925</c:v>
                </c:pt>
                <c:pt idx="50">
                  <c:v>192.1757668418538</c:v>
                </c:pt>
                <c:pt idx="51">
                  <c:v>161.79485427615862</c:v>
                </c:pt>
                <c:pt idx="52">
                  <c:v>157.05370043000477</c:v>
                </c:pt>
                <c:pt idx="53">
                  <c:v>147.19793677337157</c:v>
                </c:pt>
                <c:pt idx="54">
                  <c:v>173.50992116579073</c:v>
                </c:pt>
                <c:pt idx="55">
                  <c:v>176.78985985029465</c:v>
                </c:pt>
                <c:pt idx="56">
                  <c:v>155.11603280777192</c:v>
                </c:pt>
                <c:pt idx="57">
                  <c:v>191.3168442427138</c:v>
                </c:pt>
                <c:pt idx="58">
                  <c:v>199.66636566332215</c:v>
                </c:pt>
                <c:pt idx="59">
                  <c:v>254.76692148431277</c:v>
                </c:pt>
                <c:pt idx="60">
                  <c:v>237.62076843446408</c:v>
                </c:pt>
                <c:pt idx="61">
                  <c:v>217.92359452142063</c:v>
                </c:pt>
                <c:pt idx="62">
                  <c:v>168.28664914795348</c:v>
                </c:pt>
                <c:pt idx="63">
                  <c:v>200.17842172320434</c:v>
                </c:pt>
                <c:pt idx="64">
                  <c:v>205.90716276477147</c:v>
                </c:pt>
                <c:pt idx="65">
                  <c:v>184.4489512661252</c:v>
                </c:pt>
                <c:pt idx="66">
                  <c:v>204.61592451027232</c:v>
                </c:pt>
                <c:pt idx="67">
                  <c:v>191.9349713330148</c:v>
                </c:pt>
                <c:pt idx="68">
                  <c:v>217.78341614906833</c:v>
                </c:pt>
                <c:pt idx="69">
                  <c:v>214.40744624940277</c:v>
                </c:pt>
                <c:pt idx="70">
                  <c:v>216.2695476986781</c:v>
                </c:pt>
                <c:pt idx="71">
                  <c:v>194.62650422041727</c:v>
                </c:pt>
                <c:pt idx="72">
                  <c:v>203.2791232680363</c:v>
                </c:pt>
                <c:pt idx="73">
                  <c:v>162.68026357700273</c:v>
                </c:pt>
                <c:pt idx="74">
                  <c:v>216.24784440197485</c:v>
                </c:pt>
                <c:pt idx="75">
                  <c:v>210.3395867176302</c:v>
                </c:pt>
                <c:pt idx="76">
                  <c:v>215.6239122471731</c:v>
                </c:pt>
                <c:pt idx="77">
                  <c:v>216.00687211339383</c:v>
                </c:pt>
                <c:pt idx="78">
                  <c:v>181.5947706641185</c:v>
                </c:pt>
                <c:pt idx="79">
                  <c:v>174.14983755375061</c:v>
                </c:pt>
                <c:pt idx="80">
                  <c:v>134.56844401974837</c:v>
                </c:pt>
                <c:pt idx="81">
                  <c:v>117.69067367415194</c:v>
                </c:pt>
                <c:pt idx="82">
                  <c:v>169.16686653925785</c:v>
                </c:pt>
                <c:pt idx="83">
                  <c:v>162.91338827838825</c:v>
                </c:pt>
                <c:pt idx="84">
                  <c:v>183.5007254339863</c:v>
                </c:pt>
                <c:pt idx="85">
                  <c:v>252.3398502946329</c:v>
                </c:pt>
                <c:pt idx="86">
                  <c:v>157.04911291606945</c:v>
                </c:pt>
                <c:pt idx="87">
                  <c:v>266.31161331422203</c:v>
                </c:pt>
                <c:pt idx="88">
                  <c:v>233.2439679885332</c:v>
                </c:pt>
                <c:pt idx="89">
                  <c:v>166.21366698518872</c:v>
                </c:pt>
                <c:pt idx="90">
                  <c:v>131.20346074215638</c:v>
                </c:pt>
                <c:pt idx="91">
                  <c:v>148.8435833731486</c:v>
                </c:pt>
                <c:pt idx="92">
                  <c:v>234.192591176939</c:v>
                </c:pt>
                <c:pt idx="93">
                  <c:v>144.60520305781176</c:v>
                </c:pt>
                <c:pt idx="94">
                  <c:v>171.8518115942029</c:v>
                </c:pt>
                <c:pt idx="95">
                  <c:v>156.9432600732601</c:v>
                </c:pt>
                <c:pt idx="96">
                  <c:v>184.194635292244</c:v>
                </c:pt>
              </c:numCache>
            </c:numRef>
          </c:val>
          <c:smooth val="0"/>
        </c:ser>
        <c:marker val="1"/>
        <c:axId val="20972188"/>
        <c:axId val="54531965"/>
      </c:lineChart>
      <c:dateAx>
        <c:axId val="2097218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96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453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Zn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95"/>
          <c:w val="0.0897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025638"/>
        <c:axId val="55013015"/>
      </c:lineChart>
      <c:catAx>
        <c:axId val="2102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Zn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data'!$AV$8:$AV$104</c:f>
              <c:numCache>
                <c:ptCount val="97"/>
                <c:pt idx="0">
                  <c:v>0.061538461538461535</c:v>
                </c:pt>
                <c:pt idx="1">
                  <c:v>0.061538461538461535</c:v>
                </c:pt>
                <c:pt idx="2">
                  <c:v>0.19999999999999998</c:v>
                </c:pt>
                <c:pt idx="3">
                  <c:v>0.061538461538461535</c:v>
                </c:pt>
                <c:pt idx="4">
                  <c:v>0.061538461538461535</c:v>
                </c:pt>
                <c:pt idx="5">
                  <c:v>0.13230769230769232</c:v>
                </c:pt>
                <c:pt idx="6">
                  <c:v>0.061538461538461535</c:v>
                </c:pt>
                <c:pt idx="7">
                  <c:v>0.061538461538461535</c:v>
                </c:pt>
                <c:pt idx="8">
                  <c:v>0.061538461538461535</c:v>
                </c:pt>
                <c:pt idx="9">
                  <c:v>0.08615384615384615</c:v>
                </c:pt>
                <c:pt idx="10">
                  <c:v>0.061538461538461535</c:v>
                </c:pt>
                <c:pt idx="11">
                  <c:v>0.11384615384615386</c:v>
                </c:pt>
                <c:pt idx="12">
                  <c:v>0.061538461538461535</c:v>
                </c:pt>
                <c:pt idx="13">
                  <c:v>0.061538461538461535</c:v>
                </c:pt>
                <c:pt idx="14">
                  <c:v>0.06461538461538462</c:v>
                </c:pt>
                <c:pt idx="15">
                  <c:v>0.07076923076923076</c:v>
                </c:pt>
                <c:pt idx="16">
                  <c:v>0.07999999999999999</c:v>
                </c:pt>
                <c:pt idx="17">
                  <c:v>0.08307692307692309</c:v>
                </c:pt>
                <c:pt idx="18">
                  <c:v>0.061538461538461535</c:v>
                </c:pt>
                <c:pt idx="19">
                  <c:v>0.061538461538461535</c:v>
                </c:pt>
                <c:pt idx="20">
                  <c:v>0.07076923076923076</c:v>
                </c:pt>
                <c:pt idx="21">
                  <c:v>0.08307692307692309</c:v>
                </c:pt>
                <c:pt idx="22">
                  <c:v>0.061538461538461535</c:v>
                </c:pt>
                <c:pt idx="23">
                  <c:v>0.07999999999999999</c:v>
                </c:pt>
                <c:pt idx="24">
                  <c:v>0.061538461538461535</c:v>
                </c:pt>
                <c:pt idx="25">
                  <c:v>0.061538461538461535</c:v>
                </c:pt>
                <c:pt idx="26">
                  <c:v>0.06461538461538462</c:v>
                </c:pt>
                <c:pt idx="27">
                  <c:v>0.061538461538461535</c:v>
                </c:pt>
                <c:pt idx="28">
                  <c:v>0.061538461538461535</c:v>
                </c:pt>
                <c:pt idx="29">
                  <c:v>0.061538461538461535</c:v>
                </c:pt>
                <c:pt idx="30">
                  <c:v>0.06769230769230769</c:v>
                </c:pt>
                <c:pt idx="31">
                  <c:v>0.061538461538461535</c:v>
                </c:pt>
                <c:pt idx="32">
                  <c:v>0.061538461538461535</c:v>
                </c:pt>
                <c:pt idx="33">
                  <c:v>0.061538461538461535</c:v>
                </c:pt>
                <c:pt idx="34">
                  <c:v>0.061538461538461535</c:v>
                </c:pt>
                <c:pt idx="35">
                  <c:v>0.061538461538461535</c:v>
                </c:pt>
                <c:pt idx="36">
                  <c:v>0.3076923076923077</c:v>
                </c:pt>
                <c:pt idx="37">
                  <c:v>0.061538461538461535</c:v>
                </c:pt>
                <c:pt idx="38">
                  <c:v>0.061538461538461535</c:v>
                </c:pt>
                <c:pt idx="39">
                  <c:v>0.061538461538461535</c:v>
                </c:pt>
                <c:pt idx="40">
                  <c:v>0.061538461538461535</c:v>
                </c:pt>
                <c:pt idx="41">
                  <c:v>0.061538461538461535</c:v>
                </c:pt>
                <c:pt idx="42">
                  <c:v>0.06356923076923078</c:v>
                </c:pt>
                <c:pt idx="43">
                  <c:v>0.10270769230769229</c:v>
                </c:pt>
                <c:pt idx="44">
                  <c:v>0.061538461538461535</c:v>
                </c:pt>
                <c:pt idx="45">
                  <c:v>0.12806153846153848</c:v>
                </c:pt>
                <c:pt idx="46">
                  <c:v>0.8320000000000001</c:v>
                </c:pt>
                <c:pt idx="47">
                  <c:v>0.07058461538461538</c:v>
                </c:pt>
                <c:pt idx="48">
                  <c:v>0.06572307692307693</c:v>
                </c:pt>
                <c:pt idx="49">
                  <c:v>0.19513846153846157</c:v>
                </c:pt>
                <c:pt idx="50">
                  <c:v>0.061538461538461535</c:v>
                </c:pt>
                <c:pt idx="51">
                  <c:v>0.061538461538461535</c:v>
                </c:pt>
                <c:pt idx="52">
                  <c:v>0.061538461538461535</c:v>
                </c:pt>
                <c:pt idx="53">
                  <c:v>0.061538461538461535</c:v>
                </c:pt>
                <c:pt idx="54">
                  <c:v>0.061538461538461535</c:v>
                </c:pt>
                <c:pt idx="55">
                  <c:v>0.061538461538461535</c:v>
                </c:pt>
                <c:pt idx="56">
                  <c:v>0.061538461538461535</c:v>
                </c:pt>
                <c:pt idx="57">
                  <c:v>0.061538461538461535</c:v>
                </c:pt>
                <c:pt idx="58">
                  <c:v>0.061538461538461535</c:v>
                </c:pt>
                <c:pt idx="59">
                  <c:v>0.061538461538461535</c:v>
                </c:pt>
                <c:pt idx="60">
                  <c:v>0.09156923076923076</c:v>
                </c:pt>
                <c:pt idx="61">
                  <c:v>0.07689230769230769</c:v>
                </c:pt>
                <c:pt idx="62">
                  <c:v>0.061538461538461535</c:v>
                </c:pt>
                <c:pt idx="63">
                  <c:v>0.0775076923076923</c:v>
                </c:pt>
                <c:pt idx="64">
                  <c:v>0.06486153846153846</c:v>
                </c:pt>
                <c:pt idx="65">
                  <c:v>0.061538461538461535</c:v>
                </c:pt>
                <c:pt idx="66">
                  <c:v>0.06501538461538461</c:v>
                </c:pt>
                <c:pt idx="67">
                  <c:v>0.061538461538461535</c:v>
                </c:pt>
                <c:pt idx="68">
                  <c:v>0.061538461538461535</c:v>
                </c:pt>
                <c:pt idx="69">
                  <c:v>0.061538461538461535</c:v>
                </c:pt>
                <c:pt idx="70">
                  <c:v>0.061538461538461535</c:v>
                </c:pt>
                <c:pt idx="71">
                  <c:v>0.061538461538461535</c:v>
                </c:pt>
                <c:pt idx="72">
                  <c:v>0.08944615384615384</c:v>
                </c:pt>
                <c:pt idx="73">
                  <c:v>0.07160000000000001</c:v>
                </c:pt>
                <c:pt idx="74">
                  <c:v>0.061538461538461535</c:v>
                </c:pt>
                <c:pt idx="75">
                  <c:v>0.061538461538461535</c:v>
                </c:pt>
                <c:pt idx="76">
                  <c:v>0.061538461538461535</c:v>
                </c:pt>
                <c:pt idx="77">
                  <c:v>0.061538461538461535</c:v>
                </c:pt>
                <c:pt idx="78">
                  <c:v>0.06556923076923077</c:v>
                </c:pt>
                <c:pt idx="79">
                  <c:v>0.061538461538461535</c:v>
                </c:pt>
                <c:pt idx="80">
                  <c:v>0.06926153846153846</c:v>
                </c:pt>
                <c:pt idx="81">
                  <c:v>0.08193846153846154</c:v>
                </c:pt>
                <c:pt idx="82">
                  <c:v>0.08735384615384616</c:v>
                </c:pt>
                <c:pt idx="83">
                  <c:v>0.061538461538461535</c:v>
                </c:pt>
                <c:pt idx="84">
                  <c:v>0.09418461538461538</c:v>
                </c:pt>
                <c:pt idx="85">
                  <c:v>0.07766153846153848</c:v>
                </c:pt>
                <c:pt idx="86">
                  <c:v>0.07147692307692308</c:v>
                </c:pt>
                <c:pt idx="87">
                  <c:v>0.06326153846153847</c:v>
                </c:pt>
                <c:pt idx="88">
                  <c:v>0.061538461538461535</c:v>
                </c:pt>
                <c:pt idx="89">
                  <c:v>0.061538461538461535</c:v>
                </c:pt>
                <c:pt idx="90">
                  <c:v>0.0915076923076923</c:v>
                </c:pt>
                <c:pt idx="91">
                  <c:v>0.07113846153846154</c:v>
                </c:pt>
                <c:pt idx="92">
                  <c:v>0.07458461538461537</c:v>
                </c:pt>
                <c:pt idx="93">
                  <c:v>0.06846153846153846</c:v>
                </c:pt>
                <c:pt idx="94">
                  <c:v>0.08083076923076923</c:v>
                </c:pt>
                <c:pt idx="95">
                  <c:v>0.0642153846153846</c:v>
                </c:pt>
                <c:pt idx="96">
                  <c:v>0.061538461538461535</c:v>
                </c:pt>
              </c:numCache>
            </c:numRef>
          </c:val>
          <c:smooth val="0"/>
        </c:ser>
        <c:marker val="1"/>
        <c:axId val="25355088"/>
        <c:axId val="26869201"/>
      </c:lineChart>
      <c:dateAx>
        <c:axId val="2535508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686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Cl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data'!$AQ$8:$AQ$104</c:f>
              <c:numCache>
                <c:ptCount val="97"/>
                <c:pt idx="0">
                  <c:v>69.91428571428573</c:v>
                </c:pt>
                <c:pt idx="1">
                  <c:v>73.22857142857143</c:v>
                </c:pt>
                <c:pt idx="2">
                  <c:v>82.37142857142857</c:v>
                </c:pt>
                <c:pt idx="3">
                  <c:v>79.71428571428571</c:v>
                </c:pt>
                <c:pt idx="4">
                  <c:v>79.39999999999999</c:v>
                </c:pt>
                <c:pt idx="5">
                  <c:v>83.17142857142858</c:v>
                </c:pt>
                <c:pt idx="6">
                  <c:v>101.54285714285714</c:v>
                </c:pt>
                <c:pt idx="7">
                  <c:v>126.25714285714284</c:v>
                </c:pt>
                <c:pt idx="8">
                  <c:v>111.19999999999999</c:v>
                </c:pt>
                <c:pt idx="9">
                  <c:v>183.79999999999998</c:v>
                </c:pt>
                <c:pt idx="10">
                  <c:v>88.37142857142857</c:v>
                </c:pt>
                <c:pt idx="11">
                  <c:v>126</c:v>
                </c:pt>
                <c:pt idx="12">
                  <c:v>105.82857142857144</c:v>
                </c:pt>
                <c:pt idx="13">
                  <c:v>95.11428571428571</c:v>
                </c:pt>
                <c:pt idx="14">
                  <c:v>84.34285714285714</c:v>
                </c:pt>
                <c:pt idx="15">
                  <c:v>90.74285714285715</c:v>
                </c:pt>
                <c:pt idx="16">
                  <c:v>81.14285714285714</c:v>
                </c:pt>
                <c:pt idx="17">
                  <c:v>95</c:v>
                </c:pt>
                <c:pt idx="18">
                  <c:v>97</c:v>
                </c:pt>
                <c:pt idx="19">
                  <c:v>84.14285714285714</c:v>
                </c:pt>
                <c:pt idx="20">
                  <c:v>91.65714285714287</c:v>
                </c:pt>
                <c:pt idx="21">
                  <c:v>86.5142857142857</c:v>
                </c:pt>
                <c:pt idx="22">
                  <c:v>80.85714285714286</c:v>
                </c:pt>
                <c:pt idx="23">
                  <c:v>93.85714285714286</c:v>
                </c:pt>
                <c:pt idx="24">
                  <c:v>86.85714285714286</c:v>
                </c:pt>
                <c:pt idx="25">
                  <c:v>82.19999999999999</c:v>
                </c:pt>
                <c:pt idx="26">
                  <c:v>101.54285714285714</c:v>
                </c:pt>
                <c:pt idx="27">
                  <c:v>97.05714285714285</c:v>
                </c:pt>
                <c:pt idx="28">
                  <c:v>100.88571428571429</c:v>
                </c:pt>
                <c:pt idx="29">
                  <c:v>86.17142857142856</c:v>
                </c:pt>
                <c:pt idx="30">
                  <c:v>82.5142857142857</c:v>
                </c:pt>
                <c:pt idx="31">
                  <c:v>79.42857142857142</c:v>
                </c:pt>
                <c:pt idx="32">
                  <c:v>71.68571428571428</c:v>
                </c:pt>
                <c:pt idx="33">
                  <c:v>75.57142857142857</c:v>
                </c:pt>
                <c:pt idx="34">
                  <c:v>102.73257142857142</c:v>
                </c:pt>
                <c:pt idx="35">
                  <c:v>81.31428571428572</c:v>
                </c:pt>
                <c:pt idx="36">
                  <c:v>76.51428571428572</c:v>
                </c:pt>
                <c:pt idx="37">
                  <c:v>79.14285714285714</c:v>
                </c:pt>
                <c:pt idx="38">
                  <c:v>72.74285714285713</c:v>
                </c:pt>
                <c:pt idx="39">
                  <c:v>120.48571428571428</c:v>
                </c:pt>
                <c:pt idx="40">
                  <c:v>103.54285714285714</c:v>
                </c:pt>
                <c:pt idx="41">
                  <c:v>120.17142857142858</c:v>
                </c:pt>
                <c:pt idx="42">
                  <c:v>100</c:v>
                </c:pt>
                <c:pt idx="43">
                  <c:v>91.39999999999999</c:v>
                </c:pt>
                <c:pt idx="44">
                  <c:v>90.62857142857143</c:v>
                </c:pt>
                <c:pt idx="45">
                  <c:v>100.08571428571429</c:v>
                </c:pt>
                <c:pt idx="46">
                  <c:v>69.82857142857142</c:v>
                </c:pt>
                <c:pt idx="47">
                  <c:v>81.51428571428572</c:v>
                </c:pt>
                <c:pt idx="48">
                  <c:v>88.60714285714286</c:v>
                </c:pt>
                <c:pt idx="49">
                  <c:v>89.33485714285715</c:v>
                </c:pt>
                <c:pt idx="50">
                  <c:v>81.45714285714286</c:v>
                </c:pt>
                <c:pt idx="51">
                  <c:v>86.17142857142856</c:v>
                </c:pt>
                <c:pt idx="52">
                  <c:v>102.14285714285715</c:v>
                </c:pt>
                <c:pt idx="53">
                  <c:v>89.62857142857143</c:v>
                </c:pt>
                <c:pt idx="54">
                  <c:v>87.6</c:v>
                </c:pt>
                <c:pt idx="55">
                  <c:v>139.48571428571427</c:v>
                </c:pt>
                <c:pt idx="56">
                  <c:v>83.88571428571429</c:v>
                </c:pt>
                <c:pt idx="57">
                  <c:v>91.74285714285713</c:v>
                </c:pt>
                <c:pt idx="58">
                  <c:v>84</c:v>
                </c:pt>
                <c:pt idx="59">
                  <c:v>77.37142857142858</c:v>
                </c:pt>
                <c:pt idx="60">
                  <c:v>86.88571428571429</c:v>
                </c:pt>
                <c:pt idx="61">
                  <c:v>83.42857142857142</c:v>
                </c:pt>
                <c:pt idx="62">
                  <c:v>168.25714285714287</c:v>
                </c:pt>
                <c:pt idx="63">
                  <c:v>103.14285714285714</c:v>
                </c:pt>
                <c:pt idx="64">
                  <c:v>111.74285714285715</c:v>
                </c:pt>
                <c:pt idx="65">
                  <c:v>11.571428571428573</c:v>
                </c:pt>
                <c:pt idx="66">
                  <c:v>105.65714285714286</c:v>
                </c:pt>
                <c:pt idx="67">
                  <c:v>83.68571428571428</c:v>
                </c:pt>
                <c:pt idx="68">
                  <c:v>77.28571428571429</c:v>
                </c:pt>
                <c:pt idx="69">
                  <c:v>82.31428571428572</c:v>
                </c:pt>
                <c:pt idx="70">
                  <c:v>84.6</c:v>
                </c:pt>
                <c:pt idx="71">
                  <c:v>82.77142857142857</c:v>
                </c:pt>
                <c:pt idx="72">
                  <c:v>80.02857142857144</c:v>
                </c:pt>
                <c:pt idx="73">
                  <c:v>77.1142857142857</c:v>
                </c:pt>
                <c:pt idx="74">
                  <c:v>85.85714285714286</c:v>
                </c:pt>
                <c:pt idx="75">
                  <c:v>81.17142857142858</c:v>
                </c:pt>
                <c:pt idx="76">
                  <c:v>84.68571428571428</c:v>
                </c:pt>
                <c:pt idx="77">
                  <c:v>81.22857142857143</c:v>
                </c:pt>
                <c:pt idx="78">
                  <c:v>81.31428571428572</c:v>
                </c:pt>
                <c:pt idx="79">
                  <c:v>80.42857142857143</c:v>
                </c:pt>
                <c:pt idx="80">
                  <c:v>51.371428571428574</c:v>
                </c:pt>
                <c:pt idx="81">
                  <c:v>39.65714285714286</c:v>
                </c:pt>
                <c:pt idx="82">
                  <c:v>77.17142857142858</c:v>
                </c:pt>
                <c:pt idx="83">
                  <c:v>68.22857142857143</c:v>
                </c:pt>
                <c:pt idx="84">
                  <c:v>67.08571428571427</c:v>
                </c:pt>
                <c:pt idx="85">
                  <c:v>86.57142857142857</c:v>
                </c:pt>
                <c:pt idx="86">
                  <c:v>41.285714285714285</c:v>
                </c:pt>
                <c:pt idx="87">
                  <c:v>67.11428571428573</c:v>
                </c:pt>
                <c:pt idx="88">
                  <c:v>79.54285714285714</c:v>
                </c:pt>
                <c:pt idx="89">
                  <c:v>74.6</c:v>
                </c:pt>
                <c:pt idx="90">
                  <c:v>79.45714285714287</c:v>
                </c:pt>
                <c:pt idx="91">
                  <c:v>80.65714285714286</c:v>
                </c:pt>
                <c:pt idx="92">
                  <c:v>75.74285714285713</c:v>
                </c:pt>
                <c:pt idx="93">
                  <c:v>68.68571428571428</c:v>
                </c:pt>
                <c:pt idx="94">
                  <c:v>103.71428571428572</c:v>
                </c:pt>
                <c:pt idx="95">
                  <c:v>77.77142857142857</c:v>
                </c:pt>
                <c:pt idx="96">
                  <c:v>78.45714285714286</c:v>
                </c:pt>
              </c:numCache>
            </c:numRef>
          </c:val>
          <c:smooth val="0"/>
        </c:ser>
        <c:marker val="1"/>
        <c:axId val="60088394"/>
        <c:axId val="3924635"/>
      </c:lineChart>
      <c:dateAx>
        <c:axId val="60088394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63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92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839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Conductivity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data'!$U$8:$U$104</c:f>
              <c:numCache>
                <c:ptCount val="97"/>
                <c:pt idx="0">
                  <c:v>18.519</c:v>
                </c:pt>
                <c:pt idx="1">
                  <c:v>22.111</c:v>
                </c:pt>
                <c:pt idx="2">
                  <c:v>21.342</c:v>
                </c:pt>
                <c:pt idx="3">
                  <c:v>21.001</c:v>
                </c:pt>
                <c:pt idx="4">
                  <c:v>22.516</c:v>
                </c:pt>
                <c:pt idx="5">
                  <c:v>20.033</c:v>
                </c:pt>
                <c:pt idx="6">
                  <c:v>17.585</c:v>
                </c:pt>
                <c:pt idx="7">
                  <c:v>25.225</c:v>
                </c:pt>
                <c:pt idx="8">
                  <c:v>24.687</c:v>
                </c:pt>
                <c:pt idx="9">
                  <c:v>33.134</c:v>
                </c:pt>
                <c:pt idx="10">
                  <c:v>19.977</c:v>
                </c:pt>
                <c:pt idx="11">
                  <c:v>24.802</c:v>
                </c:pt>
                <c:pt idx="12">
                  <c:v>22.884</c:v>
                </c:pt>
                <c:pt idx="13">
                  <c:v>22.625</c:v>
                </c:pt>
                <c:pt idx="15">
                  <c:v>23.393</c:v>
                </c:pt>
                <c:pt idx="16">
                  <c:v>21.64</c:v>
                </c:pt>
                <c:pt idx="17">
                  <c:v>23.091</c:v>
                </c:pt>
                <c:pt idx="18">
                  <c:v>23.895</c:v>
                </c:pt>
                <c:pt idx="19">
                  <c:v>24.171</c:v>
                </c:pt>
                <c:pt idx="20">
                  <c:v>24.695</c:v>
                </c:pt>
                <c:pt idx="21">
                  <c:v>23.35</c:v>
                </c:pt>
                <c:pt idx="22">
                  <c:v>23.607</c:v>
                </c:pt>
                <c:pt idx="23">
                  <c:v>23.73</c:v>
                </c:pt>
                <c:pt idx="24">
                  <c:v>22.514</c:v>
                </c:pt>
                <c:pt idx="25">
                  <c:v>22.131</c:v>
                </c:pt>
                <c:pt idx="26">
                  <c:v>22.208</c:v>
                </c:pt>
                <c:pt idx="27">
                  <c:v>23.226</c:v>
                </c:pt>
                <c:pt idx="28">
                  <c:v>24.949</c:v>
                </c:pt>
                <c:pt idx="29">
                  <c:v>23.774</c:v>
                </c:pt>
                <c:pt idx="30">
                  <c:v>20.936</c:v>
                </c:pt>
                <c:pt idx="31">
                  <c:v>20.851</c:v>
                </c:pt>
                <c:pt idx="32">
                  <c:v>17.764</c:v>
                </c:pt>
                <c:pt idx="33">
                  <c:v>20.659</c:v>
                </c:pt>
                <c:pt idx="34">
                  <c:v>21.496</c:v>
                </c:pt>
                <c:pt idx="35">
                  <c:v>23.502</c:v>
                </c:pt>
                <c:pt idx="36">
                  <c:v>22.651</c:v>
                </c:pt>
                <c:pt idx="37">
                  <c:v>22.15</c:v>
                </c:pt>
                <c:pt idx="38">
                  <c:v>19.325</c:v>
                </c:pt>
                <c:pt idx="39">
                  <c:v>23.947</c:v>
                </c:pt>
                <c:pt idx="40">
                  <c:v>21.631</c:v>
                </c:pt>
                <c:pt idx="41">
                  <c:v>24.505</c:v>
                </c:pt>
                <c:pt idx="42">
                  <c:v>24.027</c:v>
                </c:pt>
                <c:pt idx="43">
                  <c:v>23.464</c:v>
                </c:pt>
                <c:pt idx="44">
                  <c:v>22.265</c:v>
                </c:pt>
                <c:pt idx="45">
                  <c:v>25.337</c:v>
                </c:pt>
                <c:pt idx="46">
                  <c:v>20.991</c:v>
                </c:pt>
                <c:pt idx="47">
                  <c:v>22.466</c:v>
                </c:pt>
                <c:pt idx="48">
                  <c:v>24.122</c:v>
                </c:pt>
                <c:pt idx="49">
                  <c:v>22.583</c:v>
                </c:pt>
                <c:pt idx="50">
                  <c:v>20.469</c:v>
                </c:pt>
                <c:pt idx="51">
                  <c:v>21.784</c:v>
                </c:pt>
                <c:pt idx="52">
                  <c:v>21.017</c:v>
                </c:pt>
                <c:pt idx="53">
                  <c:v>18.821</c:v>
                </c:pt>
                <c:pt idx="54">
                  <c:v>22.543</c:v>
                </c:pt>
                <c:pt idx="55">
                  <c:v>24.234</c:v>
                </c:pt>
                <c:pt idx="56">
                  <c:v>21.203</c:v>
                </c:pt>
                <c:pt idx="57">
                  <c:v>21.63</c:v>
                </c:pt>
                <c:pt idx="58">
                  <c:v>22.748</c:v>
                </c:pt>
                <c:pt idx="59">
                  <c:v>21.73</c:v>
                </c:pt>
                <c:pt idx="60">
                  <c:v>21.801</c:v>
                </c:pt>
                <c:pt idx="61">
                  <c:v>20.776</c:v>
                </c:pt>
                <c:pt idx="62">
                  <c:v>20.829</c:v>
                </c:pt>
                <c:pt idx="63">
                  <c:v>23.23</c:v>
                </c:pt>
                <c:pt idx="64">
                  <c:v>23.63</c:v>
                </c:pt>
                <c:pt idx="65">
                  <c:v>19.7</c:v>
                </c:pt>
                <c:pt idx="66">
                  <c:v>20.67</c:v>
                </c:pt>
                <c:pt idx="67">
                  <c:v>20.1</c:v>
                </c:pt>
                <c:pt idx="68">
                  <c:v>21.03</c:v>
                </c:pt>
                <c:pt idx="69">
                  <c:v>22.55</c:v>
                </c:pt>
                <c:pt idx="70">
                  <c:v>22.17</c:v>
                </c:pt>
                <c:pt idx="71">
                  <c:v>22.55</c:v>
                </c:pt>
                <c:pt idx="72">
                  <c:v>22.28</c:v>
                </c:pt>
                <c:pt idx="73">
                  <c:v>19.28</c:v>
                </c:pt>
                <c:pt idx="74">
                  <c:v>22.57</c:v>
                </c:pt>
                <c:pt idx="75">
                  <c:v>22.49</c:v>
                </c:pt>
                <c:pt idx="76">
                  <c:v>23.25</c:v>
                </c:pt>
                <c:pt idx="77">
                  <c:v>21.73</c:v>
                </c:pt>
                <c:pt idx="78">
                  <c:v>21.07</c:v>
                </c:pt>
                <c:pt idx="79">
                  <c:v>19.09</c:v>
                </c:pt>
                <c:pt idx="80">
                  <c:v>15.14</c:v>
                </c:pt>
                <c:pt idx="81">
                  <c:v>12.54</c:v>
                </c:pt>
                <c:pt idx="82">
                  <c:v>20.13</c:v>
                </c:pt>
                <c:pt idx="83">
                  <c:v>19.69</c:v>
                </c:pt>
                <c:pt idx="84">
                  <c:v>22.79</c:v>
                </c:pt>
                <c:pt idx="85">
                  <c:v>23.52</c:v>
                </c:pt>
                <c:pt idx="86">
                  <c:v>18.81</c:v>
                </c:pt>
                <c:pt idx="87">
                  <c:v>21.01</c:v>
                </c:pt>
                <c:pt idx="88">
                  <c:v>20.26</c:v>
                </c:pt>
                <c:pt idx="89">
                  <c:v>21.1</c:v>
                </c:pt>
                <c:pt idx="90">
                  <c:v>19.81</c:v>
                </c:pt>
                <c:pt idx="91">
                  <c:v>19.63</c:v>
                </c:pt>
                <c:pt idx="92">
                  <c:v>21.89</c:v>
                </c:pt>
                <c:pt idx="93">
                  <c:v>18.35</c:v>
                </c:pt>
                <c:pt idx="94">
                  <c:v>27.41</c:v>
                </c:pt>
                <c:pt idx="95">
                  <c:v>22.23</c:v>
                </c:pt>
                <c:pt idx="96">
                  <c:v>19.98</c:v>
                </c:pt>
              </c:numCache>
            </c:numRef>
          </c:val>
          <c:smooth val="0"/>
        </c:ser>
        <c:marker val="1"/>
        <c:axId val="35321716"/>
        <c:axId val="49459989"/>
      </c:lineChart>
      <c:dateAx>
        <c:axId val="3532171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998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94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µScm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171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Cu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data'!$AU$8:$AU$104</c:f>
              <c:numCache>
                <c:ptCount val="97"/>
                <c:pt idx="0">
                  <c:v>0.06349206349206349</c:v>
                </c:pt>
                <c:pt idx="1">
                  <c:v>0.06349206349206349</c:v>
                </c:pt>
                <c:pt idx="2">
                  <c:v>0.06349206349206349</c:v>
                </c:pt>
                <c:pt idx="3">
                  <c:v>0.06349206349206349</c:v>
                </c:pt>
                <c:pt idx="4">
                  <c:v>0.06349206349206349</c:v>
                </c:pt>
                <c:pt idx="5">
                  <c:v>0.06349206349206349</c:v>
                </c:pt>
                <c:pt idx="6">
                  <c:v>0.06349206349206349</c:v>
                </c:pt>
                <c:pt idx="7">
                  <c:v>0.06349206349206349</c:v>
                </c:pt>
                <c:pt idx="8">
                  <c:v>0.06349206349206349</c:v>
                </c:pt>
                <c:pt idx="9">
                  <c:v>0.09206349206349206</c:v>
                </c:pt>
                <c:pt idx="10">
                  <c:v>0.06349206349206349</c:v>
                </c:pt>
                <c:pt idx="11">
                  <c:v>0.06349206349206349</c:v>
                </c:pt>
                <c:pt idx="12">
                  <c:v>0.06349206349206349</c:v>
                </c:pt>
                <c:pt idx="13">
                  <c:v>0.06349206349206349</c:v>
                </c:pt>
                <c:pt idx="14">
                  <c:v>0.06349206349206349</c:v>
                </c:pt>
                <c:pt idx="15">
                  <c:v>0.06349206349206349</c:v>
                </c:pt>
                <c:pt idx="16">
                  <c:v>0.06349206349206349</c:v>
                </c:pt>
                <c:pt idx="17">
                  <c:v>0.06349206349206349</c:v>
                </c:pt>
                <c:pt idx="18">
                  <c:v>0.06349206349206349</c:v>
                </c:pt>
                <c:pt idx="19">
                  <c:v>0.06349206349206349</c:v>
                </c:pt>
                <c:pt idx="20">
                  <c:v>0.06349206349206349</c:v>
                </c:pt>
                <c:pt idx="21">
                  <c:v>0.06349206349206349</c:v>
                </c:pt>
                <c:pt idx="22">
                  <c:v>0.06349206349206349</c:v>
                </c:pt>
                <c:pt idx="23">
                  <c:v>0.06349206349206349</c:v>
                </c:pt>
                <c:pt idx="24">
                  <c:v>0.06349206349206349</c:v>
                </c:pt>
                <c:pt idx="25">
                  <c:v>0.06349206349206349</c:v>
                </c:pt>
                <c:pt idx="26">
                  <c:v>0.06349206349206349</c:v>
                </c:pt>
                <c:pt idx="27">
                  <c:v>0.06349206349206349</c:v>
                </c:pt>
                <c:pt idx="28">
                  <c:v>0.06349206349206349</c:v>
                </c:pt>
                <c:pt idx="29">
                  <c:v>0.06349206349206349</c:v>
                </c:pt>
                <c:pt idx="30">
                  <c:v>0.06349206349206349</c:v>
                </c:pt>
                <c:pt idx="31">
                  <c:v>0.06349206349206349</c:v>
                </c:pt>
                <c:pt idx="32">
                  <c:v>0.06349206349206349</c:v>
                </c:pt>
                <c:pt idx="33">
                  <c:v>0.06349206349206349</c:v>
                </c:pt>
                <c:pt idx="34">
                  <c:v>0.06349206349206349</c:v>
                </c:pt>
                <c:pt idx="35">
                  <c:v>0.06349206349206349</c:v>
                </c:pt>
                <c:pt idx="36">
                  <c:v>0.06349206349206349</c:v>
                </c:pt>
                <c:pt idx="37">
                  <c:v>0.06349206349206349</c:v>
                </c:pt>
                <c:pt idx="38">
                  <c:v>0.06349206349206349</c:v>
                </c:pt>
                <c:pt idx="39">
                  <c:v>0.06349206349206349</c:v>
                </c:pt>
                <c:pt idx="40">
                  <c:v>0.06349206349206349</c:v>
                </c:pt>
                <c:pt idx="41">
                  <c:v>0.06349206349206349</c:v>
                </c:pt>
                <c:pt idx="42">
                  <c:v>0.06349206349206349</c:v>
                </c:pt>
                <c:pt idx="43">
                  <c:v>0.06571428571428571</c:v>
                </c:pt>
                <c:pt idx="44">
                  <c:v>0.06349206349206349</c:v>
                </c:pt>
                <c:pt idx="45">
                  <c:v>0.08387301587301586</c:v>
                </c:pt>
                <c:pt idx="46">
                  <c:v>0.06349206349206349</c:v>
                </c:pt>
                <c:pt idx="47">
                  <c:v>0.06349206349206349</c:v>
                </c:pt>
                <c:pt idx="48">
                  <c:v>0.08441269841269841</c:v>
                </c:pt>
                <c:pt idx="49">
                  <c:v>0.06349206349206349</c:v>
                </c:pt>
                <c:pt idx="50">
                  <c:v>0.06349206349206349</c:v>
                </c:pt>
                <c:pt idx="51">
                  <c:v>0.06349206349206349</c:v>
                </c:pt>
                <c:pt idx="52">
                  <c:v>0.06349206349206349</c:v>
                </c:pt>
                <c:pt idx="53">
                  <c:v>0.06349206349206349</c:v>
                </c:pt>
                <c:pt idx="54">
                  <c:v>0.06349206349206349</c:v>
                </c:pt>
                <c:pt idx="55">
                  <c:v>0.06349206349206349</c:v>
                </c:pt>
                <c:pt idx="56">
                  <c:v>0.06349206349206349</c:v>
                </c:pt>
                <c:pt idx="57">
                  <c:v>0.06349206349206349</c:v>
                </c:pt>
                <c:pt idx="58">
                  <c:v>0.24184126984126986</c:v>
                </c:pt>
                <c:pt idx="59">
                  <c:v>0.06441269841269841</c:v>
                </c:pt>
                <c:pt idx="60">
                  <c:v>0.09342857142857143</c:v>
                </c:pt>
                <c:pt idx="61">
                  <c:v>0.06425396825396826</c:v>
                </c:pt>
                <c:pt idx="62">
                  <c:v>0.06669841269841269</c:v>
                </c:pt>
                <c:pt idx="63">
                  <c:v>0.18574603174603174</c:v>
                </c:pt>
                <c:pt idx="64">
                  <c:v>0.08114285714285714</c:v>
                </c:pt>
                <c:pt idx="65">
                  <c:v>0.06349206349206349</c:v>
                </c:pt>
                <c:pt idx="66">
                  <c:v>0.0778095238095238</c:v>
                </c:pt>
                <c:pt idx="67">
                  <c:v>0.06349206349206349</c:v>
                </c:pt>
                <c:pt idx="68">
                  <c:v>0.06349206349206349</c:v>
                </c:pt>
                <c:pt idx="69">
                  <c:v>0.06349206349206349</c:v>
                </c:pt>
                <c:pt idx="70">
                  <c:v>0.06349206349206349</c:v>
                </c:pt>
                <c:pt idx="71">
                  <c:v>0.06349206349206349</c:v>
                </c:pt>
                <c:pt idx="72">
                  <c:v>0.06796825396825397</c:v>
                </c:pt>
                <c:pt idx="73">
                  <c:v>0.0737142857142857</c:v>
                </c:pt>
                <c:pt idx="74">
                  <c:v>0.06501587301587301</c:v>
                </c:pt>
                <c:pt idx="75">
                  <c:v>0.06349206349206349</c:v>
                </c:pt>
                <c:pt idx="76">
                  <c:v>0.06349206349206349</c:v>
                </c:pt>
                <c:pt idx="77">
                  <c:v>0.06349206349206349</c:v>
                </c:pt>
                <c:pt idx="78">
                  <c:v>0.06349206349206349</c:v>
                </c:pt>
                <c:pt idx="79">
                  <c:v>0.06349206349206349</c:v>
                </c:pt>
                <c:pt idx="80">
                  <c:v>0.06349206349206349</c:v>
                </c:pt>
                <c:pt idx="81">
                  <c:v>0.06349206349206349</c:v>
                </c:pt>
                <c:pt idx="82">
                  <c:v>0.06349206349206349</c:v>
                </c:pt>
                <c:pt idx="83">
                  <c:v>0.06349206349206349</c:v>
                </c:pt>
                <c:pt idx="84">
                  <c:v>0.07930158730158729</c:v>
                </c:pt>
                <c:pt idx="85">
                  <c:v>0.07076190476190478</c:v>
                </c:pt>
                <c:pt idx="86">
                  <c:v>0.07073015873015873</c:v>
                </c:pt>
                <c:pt idx="87">
                  <c:v>0.06349206349206349</c:v>
                </c:pt>
                <c:pt idx="88">
                  <c:v>0.06349206349206349</c:v>
                </c:pt>
                <c:pt idx="89">
                  <c:v>0.07053968253968254</c:v>
                </c:pt>
                <c:pt idx="90">
                  <c:v>0.06349206349206349</c:v>
                </c:pt>
                <c:pt idx="91">
                  <c:v>0.06434920634920635</c:v>
                </c:pt>
                <c:pt idx="92">
                  <c:v>0.09101587301587302</c:v>
                </c:pt>
                <c:pt idx="93">
                  <c:v>0.08787301587301588</c:v>
                </c:pt>
                <c:pt idx="94">
                  <c:v>0.06660317460317461</c:v>
                </c:pt>
                <c:pt idx="95">
                  <c:v>0.07009523809523809</c:v>
                </c:pt>
                <c:pt idx="96">
                  <c:v>0.06349206349206349</c:v>
                </c:pt>
              </c:numCache>
            </c:numRef>
          </c:val>
          <c:smooth val="0"/>
        </c:ser>
        <c:marker val="1"/>
        <c:axId val="42486718"/>
        <c:axId val="46836143"/>
      </c:lineChart>
      <c:dateAx>
        <c:axId val="4248671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3614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6836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6718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DOC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data'!$Z$8:$Z$104</c:f>
              <c:numCache>
                <c:ptCount val="97"/>
                <c:pt idx="0">
                  <c:v>3.407</c:v>
                </c:pt>
                <c:pt idx="1">
                  <c:v>1.747</c:v>
                </c:pt>
                <c:pt idx="2">
                  <c:v>9.551</c:v>
                </c:pt>
                <c:pt idx="3">
                  <c:v>3.202</c:v>
                </c:pt>
                <c:pt idx="4">
                  <c:v>1.74</c:v>
                </c:pt>
                <c:pt idx="5">
                  <c:v>3.36</c:v>
                </c:pt>
                <c:pt idx="6">
                  <c:v>1.796</c:v>
                </c:pt>
                <c:pt idx="7">
                  <c:v>1.601</c:v>
                </c:pt>
                <c:pt idx="8">
                  <c:v>1.3</c:v>
                </c:pt>
                <c:pt idx="9">
                  <c:v>2.275</c:v>
                </c:pt>
                <c:pt idx="10">
                  <c:v>1.442</c:v>
                </c:pt>
                <c:pt idx="11">
                  <c:v>7.714</c:v>
                </c:pt>
                <c:pt idx="12">
                  <c:v>2.902</c:v>
                </c:pt>
                <c:pt idx="13">
                  <c:v>3.367</c:v>
                </c:pt>
                <c:pt idx="14">
                  <c:v>1.753</c:v>
                </c:pt>
                <c:pt idx="15">
                  <c:v>4.913</c:v>
                </c:pt>
                <c:pt idx="16">
                  <c:v>7.297</c:v>
                </c:pt>
                <c:pt idx="17">
                  <c:v>2.459</c:v>
                </c:pt>
                <c:pt idx="18">
                  <c:v>2.348</c:v>
                </c:pt>
                <c:pt idx="19">
                  <c:v>2.189</c:v>
                </c:pt>
                <c:pt idx="20">
                  <c:v>2.67</c:v>
                </c:pt>
                <c:pt idx="21">
                  <c:v>4.796</c:v>
                </c:pt>
                <c:pt idx="22">
                  <c:v>2.375</c:v>
                </c:pt>
                <c:pt idx="23">
                  <c:v>4.393</c:v>
                </c:pt>
                <c:pt idx="24">
                  <c:v>2.716</c:v>
                </c:pt>
                <c:pt idx="25">
                  <c:v>3.817</c:v>
                </c:pt>
                <c:pt idx="26">
                  <c:v>3.104</c:v>
                </c:pt>
                <c:pt idx="27">
                  <c:v>1.953</c:v>
                </c:pt>
                <c:pt idx="28">
                  <c:v>1.904518356322023</c:v>
                </c:pt>
                <c:pt idx="29">
                  <c:v>3.41270469108457</c:v>
                </c:pt>
                <c:pt idx="30">
                  <c:v>2.859</c:v>
                </c:pt>
                <c:pt idx="31">
                  <c:v>2.417</c:v>
                </c:pt>
                <c:pt idx="32">
                  <c:v>3.719</c:v>
                </c:pt>
                <c:pt idx="33">
                  <c:v>1.458</c:v>
                </c:pt>
                <c:pt idx="34">
                  <c:v>7.199</c:v>
                </c:pt>
                <c:pt idx="35">
                  <c:v>1.4</c:v>
                </c:pt>
                <c:pt idx="36">
                  <c:v>12.3</c:v>
                </c:pt>
                <c:pt idx="37">
                  <c:v>5.4</c:v>
                </c:pt>
                <c:pt idx="38">
                  <c:v>5.2</c:v>
                </c:pt>
                <c:pt idx="39">
                  <c:v>3.3</c:v>
                </c:pt>
                <c:pt idx="40">
                  <c:v>3.6</c:v>
                </c:pt>
                <c:pt idx="41">
                  <c:v>2.388</c:v>
                </c:pt>
                <c:pt idx="42">
                  <c:v>1.8</c:v>
                </c:pt>
                <c:pt idx="43">
                  <c:v>1.5</c:v>
                </c:pt>
                <c:pt idx="44">
                  <c:v>3.43</c:v>
                </c:pt>
                <c:pt idx="45">
                  <c:v>5.993</c:v>
                </c:pt>
                <c:pt idx="46">
                  <c:v>2.996</c:v>
                </c:pt>
                <c:pt idx="47">
                  <c:v>2.124</c:v>
                </c:pt>
                <c:pt idx="48">
                  <c:v>3.582</c:v>
                </c:pt>
                <c:pt idx="49">
                  <c:v>2.201</c:v>
                </c:pt>
                <c:pt idx="50">
                  <c:v>2.779</c:v>
                </c:pt>
                <c:pt idx="51">
                  <c:v>1.266</c:v>
                </c:pt>
                <c:pt idx="52">
                  <c:v>2.161</c:v>
                </c:pt>
                <c:pt idx="53">
                  <c:v>4.306</c:v>
                </c:pt>
                <c:pt idx="54">
                  <c:v>1.501</c:v>
                </c:pt>
                <c:pt idx="55">
                  <c:v>2.215</c:v>
                </c:pt>
                <c:pt idx="56">
                  <c:v>2.66</c:v>
                </c:pt>
                <c:pt idx="57">
                  <c:v>2.437</c:v>
                </c:pt>
                <c:pt idx="58">
                  <c:v>4.095</c:v>
                </c:pt>
                <c:pt idx="59">
                  <c:v>2.065</c:v>
                </c:pt>
                <c:pt idx="60">
                  <c:v>5.807</c:v>
                </c:pt>
                <c:pt idx="61">
                  <c:v>3.927</c:v>
                </c:pt>
                <c:pt idx="62">
                  <c:v>2.405</c:v>
                </c:pt>
                <c:pt idx="63">
                  <c:v>5.81</c:v>
                </c:pt>
                <c:pt idx="64">
                  <c:v>3.441</c:v>
                </c:pt>
                <c:pt idx="65">
                  <c:v>2.582</c:v>
                </c:pt>
                <c:pt idx="66">
                  <c:v>4.731</c:v>
                </c:pt>
                <c:pt idx="67">
                  <c:v>2.002</c:v>
                </c:pt>
                <c:pt idx="68">
                  <c:v>1.253</c:v>
                </c:pt>
                <c:pt idx="69">
                  <c:v>1.64</c:v>
                </c:pt>
                <c:pt idx="70">
                  <c:v>2.998</c:v>
                </c:pt>
                <c:pt idx="71">
                  <c:v>1.326</c:v>
                </c:pt>
                <c:pt idx="72">
                  <c:v>3.067</c:v>
                </c:pt>
                <c:pt idx="73">
                  <c:v>2.619</c:v>
                </c:pt>
                <c:pt idx="74">
                  <c:v>2.022</c:v>
                </c:pt>
                <c:pt idx="75">
                  <c:v>4.62</c:v>
                </c:pt>
                <c:pt idx="76">
                  <c:v>2.736</c:v>
                </c:pt>
                <c:pt idx="77">
                  <c:v>3.049</c:v>
                </c:pt>
                <c:pt idx="78">
                  <c:v>3.936</c:v>
                </c:pt>
                <c:pt idx="79">
                  <c:v>2.886</c:v>
                </c:pt>
                <c:pt idx="80">
                  <c:v>2.571</c:v>
                </c:pt>
                <c:pt idx="81">
                  <c:v>2.433</c:v>
                </c:pt>
                <c:pt idx="82">
                  <c:v>2.169</c:v>
                </c:pt>
                <c:pt idx="83">
                  <c:v>1.601</c:v>
                </c:pt>
                <c:pt idx="84">
                  <c:v>14.62</c:v>
                </c:pt>
                <c:pt idx="85">
                  <c:v>2.208</c:v>
                </c:pt>
                <c:pt idx="86">
                  <c:v>11.47</c:v>
                </c:pt>
                <c:pt idx="87">
                  <c:v>2.41</c:v>
                </c:pt>
                <c:pt idx="88">
                  <c:v>2.051</c:v>
                </c:pt>
                <c:pt idx="89">
                  <c:v>2.41</c:v>
                </c:pt>
                <c:pt idx="90">
                  <c:v>5.387</c:v>
                </c:pt>
                <c:pt idx="91">
                  <c:v>3.207</c:v>
                </c:pt>
                <c:pt idx="92">
                  <c:v>1.596</c:v>
                </c:pt>
                <c:pt idx="93">
                  <c:v>3.986</c:v>
                </c:pt>
                <c:pt idx="94">
                  <c:v>4.82</c:v>
                </c:pt>
                <c:pt idx="95">
                  <c:v>2.12</c:v>
                </c:pt>
                <c:pt idx="96">
                  <c:v>2.021</c:v>
                </c:pt>
              </c:numCache>
            </c:numRef>
          </c:val>
          <c:smooth val="0"/>
        </c:ser>
        <c:marker val="1"/>
        <c:axId val="18872104"/>
        <c:axId val="35631209"/>
      </c:lineChart>
      <c:dateAx>
        <c:axId val="18872104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120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563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2104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6
Fe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6 data'!$A$8:$A$104</c:f>
              <c:strCache>
                <c:ptCount val="97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  <c:pt idx="51">
                  <c:v>39497</c:v>
                </c:pt>
                <c:pt idx="52">
                  <c:v>39510</c:v>
                </c:pt>
                <c:pt idx="53">
                  <c:v>39524</c:v>
                </c:pt>
                <c:pt idx="54">
                  <c:v>39535</c:v>
                </c:pt>
                <c:pt idx="55">
                  <c:v>39553</c:v>
                </c:pt>
                <c:pt idx="56">
                  <c:v>39574</c:v>
                </c:pt>
                <c:pt idx="57">
                  <c:v>39601</c:v>
                </c:pt>
                <c:pt idx="58">
                  <c:v>39636</c:v>
                </c:pt>
                <c:pt idx="59">
                  <c:v>39693</c:v>
                </c:pt>
                <c:pt idx="60">
                  <c:v>39706</c:v>
                </c:pt>
                <c:pt idx="61">
                  <c:v>39721</c:v>
                </c:pt>
                <c:pt idx="62">
                  <c:v>39735</c:v>
                </c:pt>
                <c:pt idx="63">
                  <c:v>39757</c:v>
                </c:pt>
                <c:pt idx="64">
                  <c:v>39840</c:v>
                </c:pt>
                <c:pt idx="65">
                  <c:v>39875</c:v>
                </c:pt>
                <c:pt idx="66">
                  <c:v>39899</c:v>
                </c:pt>
                <c:pt idx="67">
                  <c:v>39910</c:v>
                </c:pt>
                <c:pt idx="68">
                  <c:v>39924</c:v>
                </c:pt>
                <c:pt idx="69">
                  <c:v>39937</c:v>
                </c:pt>
                <c:pt idx="70">
                  <c:v>39951</c:v>
                </c:pt>
                <c:pt idx="71">
                  <c:v>39966</c:v>
                </c:pt>
                <c:pt idx="72">
                  <c:v>40050</c:v>
                </c:pt>
                <c:pt idx="73">
                  <c:v>40063</c:v>
                </c:pt>
                <c:pt idx="74">
                  <c:v>40078</c:v>
                </c:pt>
                <c:pt idx="75">
                  <c:v>40091</c:v>
                </c:pt>
                <c:pt idx="76">
                  <c:v>40106</c:v>
                </c:pt>
                <c:pt idx="77">
                  <c:v>40128</c:v>
                </c:pt>
                <c:pt idx="78">
                  <c:v>40226</c:v>
                </c:pt>
                <c:pt idx="79">
                  <c:v>40266</c:v>
                </c:pt>
                <c:pt idx="80">
                  <c:v>40280</c:v>
                </c:pt>
                <c:pt idx="81">
                  <c:v>40295</c:v>
                </c:pt>
                <c:pt idx="82">
                  <c:v>40308</c:v>
                </c:pt>
                <c:pt idx="83">
                  <c:v>40322</c:v>
                </c:pt>
                <c:pt idx="84">
                  <c:v>40336</c:v>
                </c:pt>
                <c:pt idx="85">
                  <c:v>40364</c:v>
                </c:pt>
                <c:pt idx="86">
                  <c:v>40399</c:v>
                </c:pt>
                <c:pt idx="87">
                  <c:v>40423</c:v>
                </c:pt>
                <c:pt idx="88">
                  <c:v>40449</c:v>
                </c:pt>
                <c:pt idx="89">
                  <c:v>40469</c:v>
                </c:pt>
                <c:pt idx="90">
                  <c:v>40491</c:v>
                </c:pt>
                <c:pt idx="91">
                  <c:v>40526</c:v>
                </c:pt>
                <c:pt idx="92">
                  <c:v>40555</c:v>
                </c:pt>
                <c:pt idx="93">
                  <c:v>40575</c:v>
                </c:pt>
                <c:pt idx="94">
                  <c:v>40597</c:v>
                </c:pt>
                <c:pt idx="95">
                  <c:v>40618</c:v>
                </c:pt>
                <c:pt idx="96">
                  <c:v>40631</c:v>
                </c:pt>
              </c:strCache>
            </c:strRef>
          </c:cat>
          <c:val>
            <c:numRef>
              <c:f>'Stream gauge 6 data'!$AE$8:$AE$104</c:f>
              <c:numCache>
                <c:ptCount val="97"/>
                <c:pt idx="0">
                  <c:v>0.5071428571428571</c:v>
                </c:pt>
                <c:pt idx="1">
                  <c:v>0.3892857142857143</c:v>
                </c:pt>
                <c:pt idx="2">
                  <c:v>1.4107142857142858</c:v>
                </c:pt>
                <c:pt idx="3">
                  <c:v>0.35714285714285715</c:v>
                </c:pt>
                <c:pt idx="4">
                  <c:v>0.2142857142857143</c:v>
                </c:pt>
                <c:pt idx="5">
                  <c:v>0.4785714285714286</c:v>
                </c:pt>
                <c:pt idx="6">
                  <c:v>0.2142857142857143</c:v>
                </c:pt>
                <c:pt idx="7">
                  <c:v>0.2142857142857143</c:v>
                </c:pt>
                <c:pt idx="8">
                  <c:v>0.35714285714285715</c:v>
                </c:pt>
                <c:pt idx="9">
                  <c:v>0.36428571428571427</c:v>
                </c:pt>
                <c:pt idx="10">
                  <c:v>0.2142857142857143</c:v>
                </c:pt>
                <c:pt idx="11">
                  <c:v>1.0392857142857144</c:v>
                </c:pt>
                <c:pt idx="12">
                  <c:v>0.3821428571428571</c:v>
                </c:pt>
                <c:pt idx="13">
                  <c:v>0.5321428571428571</c:v>
                </c:pt>
                <c:pt idx="14">
                  <c:v>0.35357142857142865</c:v>
                </c:pt>
                <c:pt idx="15">
                  <c:v>0.8428571428571429</c:v>
                </c:pt>
                <c:pt idx="16">
                  <c:v>1.310714285714286</c:v>
                </c:pt>
                <c:pt idx="17">
                  <c:v>0.2142857142857143</c:v>
                </c:pt>
                <c:pt idx="18">
                  <c:v>0.2142857142857143</c:v>
                </c:pt>
                <c:pt idx="19">
                  <c:v>0.2142857142857143</c:v>
                </c:pt>
                <c:pt idx="20">
                  <c:v>0.2142857142857143</c:v>
                </c:pt>
                <c:pt idx="21">
                  <c:v>0.4607142857142857</c:v>
                </c:pt>
                <c:pt idx="22">
                  <c:v>0.5035714285714286</c:v>
                </c:pt>
                <c:pt idx="23">
                  <c:v>0.5678571428571428</c:v>
                </c:pt>
                <c:pt idx="24">
                  <c:v>0.35357142857142865</c:v>
                </c:pt>
                <c:pt idx="25">
                  <c:v>0.8464285714285714</c:v>
                </c:pt>
                <c:pt idx="26">
                  <c:v>0.3607142857142857</c:v>
                </c:pt>
                <c:pt idx="27">
                  <c:v>0.2142857142857143</c:v>
                </c:pt>
                <c:pt idx="28">
                  <c:v>0.2142857142857143</c:v>
                </c:pt>
                <c:pt idx="29">
                  <c:v>0.42500000000000004</c:v>
                </c:pt>
                <c:pt idx="30">
                  <c:v>0.35</c:v>
                </c:pt>
                <c:pt idx="31">
                  <c:v>0.26071428571428573</c:v>
                </c:pt>
                <c:pt idx="32">
                  <c:v>0.45357142857142857</c:v>
                </c:pt>
                <c:pt idx="33">
                  <c:v>0.2142857142857143</c:v>
                </c:pt>
                <c:pt idx="34">
                  <c:v>1.157142857142857</c:v>
                </c:pt>
                <c:pt idx="35">
                  <c:v>0.2142857142857143</c:v>
                </c:pt>
                <c:pt idx="36">
                  <c:v>2.5357142857142856</c:v>
                </c:pt>
                <c:pt idx="37">
                  <c:v>0.7142857142857143</c:v>
                </c:pt>
                <c:pt idx="38">
                  <c:v>1.032142857142857</c:v>
                </c:pt>
                <c:pt idx="39">
                  <c:v>0.7142857142857143</c:v>
                </c:pt>
                <c:pt idx="40">
                  <c:v>0.6071428571428572</c:v>
                </c:pt>
                <c:pt idx="41">
                  <c:v>0.6071428571428572</c:v>
                </c:pt>
                <c:pt idx="42">
                  <c:v>0.4035714285714285</c:v>
                </c:pt>
                <c:pt idx="43">
                  <c:v>0.3607142857142857</c:v>
                </c:pt>
                <c:pt idx="44">
                  <c:v>0.9732142857142857</c:v>
                </c:pt>
                <c:pt idx="45">
                  <c:v>0.2773214285714286</c:v>
                </c:pt>
                <c:pt idx="46">
                  <c:v>0.5767857142857143</c:v>
                </c:pt>
                <c:pt idx="47">
                  <c:v>0.5417857142857143</c:v>
                </c:pt>
                <c:pt idx="48">
                  <c:v>1.0935714285714286</c:v>
                </c:pt>
                <c:pt idx="49">
                  <c:v>0.6410714285714285</c:v>
                </c:pt>
                <c:pt idx="50">
                  <c:v>0.6689285714285714</c:v>
                </c:pt>
                <c:pt idx="51">
                  <c:v>0.2142857142857143</c:v>
                </c:pt>
                <c:pt idx="52">
                  <c:v>0.232</c:v>
                </c:pt>
                <c:pt idx="53">
                  <c:v>0.3029642857142857</c:v>
                </c:pt>
                <c:pt idx="54">
                  <c:v>0.2142857142857143</c:v>
                </c:pt>
                <c:pt idx="55">
                  <c:v>0.22785714285714287</c:v>
                </c:pt>
                <c:pt idx="56">
                  <c:v>0.2142857142857143</c:v>
                </c:pt>
                <c:pt idx="57">
                  <c:v>0.28564285714285714</c:v>
                </c:pt>
                <c:pt idx="58">
                  <c:v>0.7132142857142858</c:v>
                </c:pt>
                <c:pt idx="59">
                  <c:v>1.8982142857142859</c:v>
                </c:pt>
                <c:pt idx="60">
                  <c:v>2.7039285714285715</c:v>
                </c:pt>
                <c:pt idx="61">
                  <c:v>2.291071428571428</c:v>
                </c:pt>
                <c:pt idx="62">
                  <c:v>0.2142857142857143</c:v>
                </c:pt>
                <c:pt idx="63">
                  <c:v>1.6132142857142857</c:v>
                </c:pt>
                <c:pt idx="64">
                  <c:v>0.2142857142857143</c:v>
                </c:pt>
                <c:pt idx="65">
                  <c:v>0.2142857142857143</c:v>
                </c:pt>
                <c:pt idx="66">
                  <c:v>1.5603571428571428</c:v>
                </c:pt>
                <c:pt idx="67">
                  <c:v>0.2142857142857143</c:v>
                </c:pt>
                <c:pt idx="68">
                  <c:v>0.2142857142857143</c:v>
                </c:pt>
                <c:pt idx="69">
                  <c:v>0.2142857142857143</c:v>
                </c:pt>
                <c:pt idx="70">
                  <c:v>0.2142857142857143</c:v>
                </c:pt>
                <c:pt idx="71">
                  <c:v>0.2142857142857143</c:v>
                </c:pt>
                <c:pt idx="72">
                  <c:v>1.2517857142857143</c:v>
                </c:pt>
                <c:pt idx="73">
                  <c:v>0.2142857142857143</c:v>
                </c:pt>
                <c:pt idx="74">
                  <c:v>0.2142857142857143</c:v>
                </c:pt>
                <c:pt idx="75">
                  <c:v>1.3939285714285716</c:v>
                </c:pt>
                <c:pt idx="76">
                  <c:v>1.197857142857143</c:v>
                </c:pt>
                <c:pt idx="77">
                  <c:v>0.2142857142857143</c:v>
                </c:pt>
                <c:pt idx="78">
                  <c:v>1.416785714285714</c:v>
                </c:pt>
                <c:pt idx="79">
                  <c:v>0.2142857142857143</c:v>
                </c:pt>
                <c:pt idx="80">
                  <c:v>1.1396428571428572</c:v>
                </c:pt>
                <c:pt idx="81">
                  <c:v>0.2142857142857143</c:v>
                </c:pt>
                <c:pt idx="82">
                  <c:v>0.2142857142857143</c:v>
                </c:pt>
                <c:pt idx="83">
                  <c:v>0.2142857142857143</c:v>
                </c:pt>
                <c:pt idx="84">
                  <c:v>3.127142857142857</c:v>
                </c:pt>
                <c:pt idx="85">
                  <c:v>1.4575</c:v>
                </c:pt>
                <c:pt idx="86">
                  <c:v>3.625</c:v>
                </c:pt>
                <c:pt idx="87">
                  <c:v>0.2142857142857143</c:v>
                </c:pt>
                <c:pt idx="88">
                  <c:v>0.2142857142857143</c:v>
                </c:pt>
                <c:pt idx="89">
                  <c:v>0.2142857142857143</c:v>
                </c:pt>
                <c:pt idx="90">
                  <c:v>0.2142857142857143</c:v>
                </c:pt>
                <c:pt idx="91">
                  <c:v>0.2142857142857143</c:v>
                </c:pt>
                <c:pt idx="92">
                  <c:v>0.2142857142857143</c:v>
                </c:pt>
                <c:pt idx="93">
                  <c:v>0.2142857142857143</c:v>
                </c:pt>
                <c:pt idx="94">
                  <c:v>0.2142857142857143</c:v>
                </c:pt>
                <c:pt idx="95">
                  <c:v>0.2142857142857143</c:v>
                </c:pt>
                <c:pt idx="96">
                  <c:v>0.2142857142857143</c:v>
                </c:pt>
              </c:numCache>
            </c:numRef>
          </c:val>
          <c:smooth val="0"/>
        </c:ser>
        <c:marker val="1"/>
        <c:axId val="52245426"/>
        <c:axId val="446787"/>
      </c:lineChart>
      <c:dateAx>
        <c:axId val="5224542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8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4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4542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12</xdr:row>
      <xdr:rowOff>95250</xdr:rowOff>
    </xdr:from>
    <xdr:to>
      <xdr:col>14</xdr:col>
      <xdr:colOff>285750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2924175" y="20383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4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5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4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12</xdr:row>
      <xdr:rowOff>57150</xdr:rowOff>
    </xdr:from>
    <xdr:to>
      <xdr:col>14</xdr:col>
      <xdr:colOff>371475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30099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025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0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harcaidh%20Montane%20Project(302372)\Mharcaidh%20Montane%20Water%20Chemis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th October'04"/>
      <sheetName val="16th November'04"/>
      <sheetName val="14th December'04"/>
      <sheetName val="25th January'05"/>
      <sheetName val="8th Feb'05"/>
      <sheetName val="8th March'05"/>
      <sheetName val="22nd March'05"/>
      <sheetName val="5th April'05"/>
      <sheetName val="19th April'05"/>
      <sheetName val="5th May'05"/>
      <sheetName val="17th May'05"/>
      <sheetName val="30th May'05"/>
      <sheetName val="27th June'05"/>
      <sheetName val="7th July'05"/>
      <sheetName val="26th July'05"/>
      <sheetName val="23rd Aug'05"/>
      <sheetName val="6th Sept'05"/>
      <sheetName val="20th Sept'05"/>
      <sheetName val="18th Oct'05"/>
      <sheetName val="1st Nov'05"/>
      <sheetName val="15th Nov'05"/>
      <sheetName val="13th Dec'05"/>
      <sheetName val="10th Jan'06"/>
      <sheetName val="7th Feb'06"/>
      <sheetName val="3rd April'06"/>
      <sheetName val="19th April'06"/>
      <sheetName val="4th May'06"/>
      <sheetName val="16th May'06"/>
      <sheetName val="30th May'06"/>
      <sheetName val="12th July'06"/>
      <sheetName val="5th Sept'06"/>
      <sheetName val="20th Sept'06"/>
      <sheetName val="31st Oct'06"/>
      <sheetName val="13th Feb'07"/>
      <sheetName val="27th Feb'07"/>
      <sheetName val="27th March'07"/>
      <sheetName val="10th April'07"/>
      <sheetName val="24th April'07"/>
      <sheetName val="22nd May'07"/>
      <sheetName val="19th June'07"/>
      <sheetName val="30th July'07"/>
      <sheetName val="4th Sept'07"/>
      <sheetName val="25th Sept'07"/>
      <sheetName val="9th Oct'07"/>
      <sheetName val="12th Dec'07"/>
      <sheetName val="19th Feb'08"/>
      <sheetName val="4th March'08"/>
      <sheetName val="18th March'08"/>
      <sheetName val="28th March'08"/>
      <sheetName val="15th April'08"/>
      <sheetName val="7th May'08"/>
      <sheetName val="2nd June'08"/>
      <sheetName val="8th July'08"/>
      <sheetName val="2nd Sept'08"/>
      <sheetName val="16th Sept'08"/>
      <sheetName val="30th Sept'08"/>
      <sheetName val="14thOct'08"/>
      <sheetName val="5thNov'08"/>
      <sheetName val="27thJan'09"/>
      <sheetName val="3rdMarch'09"/>
      <sheetName val="27th March'09"/>
      <sheetName val="7th April'09"/>
      <sheetName val="22ndApril'09"/>
      <sheetName val="5thMay'09"/>
      <sheetName val="19thMay'09 to 11thNov'09"/>
      <sheetName val="17th Feb to 14thDec'10"/>
      <sheetName val="12thJan'11 to 29thMar'11"/>
      <sheetName val="RG2&amp;5&amp;FG2&amp;5andSnowsummary"/>
      <sheetName val="Organic summary data"/>
      <sheetName val="Mineral summary data"/>
      <sheetName val="Org&amp;Mineral meaned data &amp;charts"/>
      <sheetName val="Detection Limits"/>
      <sheetName val="Spring(Allt Geal-Charn)"/>
      <sheetName val="comparison of Total N"/>
      <sheetName val="Codes"/>
      <sheetName val="25th Jan comparison pH's"/>
      <sheetName val="Sheet1"/>
      <sheetName val="setup"/>
      <sheetName val="RG&amp;FG2&amp;5and Snowsummary"/>
    </sheetNames>
    <sheetDataSet>
      <sheetData sheetId="77">
        <row r="13">
          <cell r="B13">
            <v>0.0006</v>
          </cell>
        </row>
        <row r="14">
          <cell r="B14">
            <v>0.05721715256108241</v>
          </cell>
        </row>
        <row r="15">
          <cell r="B15">
            <v>3.453952113153364E-07</v>
          </cell>
        </row>
        <row r="19">
          <cell r="D19">
            <v>100000000</v>
          </cell>
        </row>
        <row r="20">
          <cell r="D20">
            <v>3.2257691829276077E-06</v>
          </cell>
        </row>
        <row r="21">
          <cell r="D21">
            <v>8.772099694434585E-12</v>
          </cell>
        </row>
        <row r="22">
          <cell r="D22">
            <v>830.6478373615398</v>
          </cell>
        </row>
        <row r="26">
          <cell r="C26">
            <v>0.0009120108393559087</v>
          </cell>
        </row>
        <row r="27">
          <cell r="C27">
            <v>3.090295432513586E-05</v>
          </cell>
        </row>
        <row r="28">
          <cell r="C28">
            <v>3.467368504525315E-07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3">
      <pane ySplit="1590" topLeftCell="A1" activePane="topLeft" state="split"/>
      <selection pane="topLeft" activeCell="AM19" sqref="AM19"/>
      <selection pane="bottomLeft" activeCell="M1" sqref="M1"/>
    </sheetView>
  </sheetViews>
  <sheetFormatPr defaultColWidth="9.140625" defaultRowHeight="12.75"/>
  <cols>
    <col min="1" max="1" width="9.8515625" style="1" bestFit="1" customWidth="1"/>
    <col min="2" max="2" width="11.28125" style="39" customWidth="1"/>
    <col min="3" max="3" width="12.421875" style="0" bestFit="1" customWidth="1"/>
    <col min="4" max="4" width="10.57421875" style="0" bestFit="1" customWidth="1"/>
    <col min="5" max="5" width="9.7109375" style="0" bestFit="1" customWidth="1"/>
    <col min="6" max="6" width="9.28125" style="16" customWidth="1"/>
    <col min="7" max="7" width="10.140625" style="0" bestFit="1" customWidth="1"/>
    <col min="8" max="26" width="9.28125" style="0" bestFit="1" customWidth="1"/>
    <col min="27" max="27" width="15.140625" style="0" bestFit="1" customWidth="1"/>
    <col min="28" max="28" width="11.00390625" style="1" bestFit="1" customWidth="1"/>
    <col min="29" max="29" width="17.57421875" style="0" bestFit="1" customWidth="1"/>
    <col min="30" max="48" width="9.28125" style="0" customWidth="1"/>
    <col min="49" max="49" width="15.140625" style="0" bestFit="1" customWidth="1"/>
    <col min="50" max="50" width="17.57421875" style="0" bestFit="1" customWidth="1"/>
    <col min="51" max="51" width="17.57421875" style="0" customWidth="1"/>
    <col min="52" max="52" width="17.7109375" style="0" bestFit="1" customWidth="1"/>
    <col min="62" max="63" width="10.57421875" style="0" bestFit="1" customWidth="1"/>
    <col min="65" max="65" width="11.57421875" style="0" bestFit="1" customWidth="1"/>
    <col min="66" max="66" width="11.57421875" style="0" customWidth="1"/>
    <col min="67" max="67" width="12.8515625" style="0" bestFit="1" customWidth="1"/>
    <col min="68" max="68" width="12.28125" style="0" bestFit="1" customWidth="1"/>
    <col min="69" max="71" width="11.57421875" style="0" customWidth="1"/>
    <col min="73" max="73" width="10.57421875" style="0" bestFit="1" customWidth="1"/>
    <col min="87" max="87" width="15.140625" style="0" bestFit="1" customWidth="1"/>
    <col min="88" max="88" width="11.00390625" style="0" bestFit="1" customWidth="1"/>
    <col min="89" max="89" width="17.57421875" style="0" bestFit="1" customWidth="1"/>
    <col min="90" max="90" width="9.00390625" style="0" customWidth="1"/>
    <col min="91" max="91" width="21.140625" style="0" bestFit="1" customWidth="1"/>
  </cols>
  <sheetData>
    <row r="1" spans="1:65" ht="15.75">
      <c r="A1" s="38" t="s">
        <v>25</v>
      </c>
      <c r="F1" s="40"/>
      <c r="G1" s="41"/>
      <c r="H1" s="41"/>
      <c r="I1" s="41"/>
      <c r="J1" s="42"/>
      <c r="K1" s="42"/>
      <c r="Y1" s="43"/>
      <c r="Z1" s="44" t="s">
        <v>26</v>
      </c>
      <c r="BB1" s="52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</row>
    <row r="2" spans="1:63" ht="15">
      <c r="A2" s="107" t="s">
        <v>113</v>
      </c>
      <c r="F2" s="19"/>
      <c r="H2" s="36"/>
      <c r="I2" s="36"/>
      <c r="J2" s="36"/>
      <c r="K2" s="19"/>
      <c r="L2" s="36"/>
      <c r="Q2" s="45"/>
      <c r="R2" s="45"/>
      <c r="S2" s="45"/>
      <c r="T2" s="45"/>
      <c r="Y2" s="43"/>
      <c r="Z2" s="46" t="s">
        <v>27</v>
      </c>
      <c r="AD2" s="47"/>
      <c r="BA2" s="41"/>
      <c r="BB2" s="48"/>
      <c r="BC2" s="48"/>
      <c r="BD2" s="48"/>
      <c r="BE2" s="25"/>
      <c r="BF2" s="25"/>
      <c r="BG2" s="25"/>
      <c r="BH2" s="25"/>
      <c r="BI2" s="25"/>
      <c r="BJ2" s="25"/>
      <c r="BK2" s="25"/>
    </row>
    <row r="3" spans="3:63" ht="12.75">
      <c r="C3" s="15"/>
      <c r="F3" s="41"/>
      <c r="G3" s="49"/>
      <c r="I3" s="50"/>
      <c r="K3" s="51"/>
      <c r="M3" s="50"/>
      <c r="N3" s="50"/>
      <c r="AA3" s="12"/>
      <c r="AI3" s="25"/>
      <c r="AJ3" s="25"/>
      <c r="AK3" s="25"/>
      <c r="AL3" s="25"/>
      <c r="AM3" s="25"/>
      <c r="AN3" s="25"/>
      <c r="AO3" s="25"/>
      <c r="BA3" s="52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187" s="58" customFormat="1" ht="15.75">
      <c r="A4" s="3" t="s">
        <v>16</v>
      </c>
      <c r="B4" s="53" t="s">
        <v>22</v>
      </c>
      <c r="C4" s="54" t="s">
        <v>28</v>
      </c>
      <c r="D4" s="55" t="s">
        <v>29</v>
      </c>
      <c r="E4" s="55" t="s">
        <v>30</v>
      </c>
      <c r="F4" s="56" t="s">
        <v>0</v>
      </c>
      <c r="G4" s="56" t="s">
        <v>1</v>
      </c>
      <c r="H4" s="56" t="s">
        <v>2</v>
      </c>
      <c r="I4" s="56" t="s">
        <v>3</v>
      </c>
      <c r="J4" s="56" t="s">
        <v>31</v>
      </c>
      <c r="K4" s="56" t="s">
        <v>32</v>
      </c>
      <c r="L4" s="56" t="s">
        <v>33</v>
      </c>
      <c r="M4" s="56" t="s">
        <v>4</v>
      </c>
      <c r="N4" s="56" t="s">
        <v>5</v>
      </c>
      <c r="O4" s="56" t="s">
        <v>6</v>
      </c>
      <c r="P4" s="56" t="s">
        <v>7</v>
      </c>
      <c r="Q4" s="56" t="s">
        <v>34</v>
      </c>
      <c r="R4" s="56" t="s">
        <v>8</v>
      </c>
      <c r="S4" s="56" t="s">
        <v>9</v>
      </c>
      <c r="T4" s="56" t="s">
        <v>10</v>
      </c>
      <c r="U4" s="3" t="s">
        <v>11</v>
      </c>
      <c r="V4" s="56" t="s">
        <v>12</v>
      </c>
      <c r="W4" s="21" t="s">
        <v>13</v>
      </c>
      <c r="X4" s="56" t="s">
        <v>14</v>
      </c>
      <c r="Y4" s="56" t="s">
        <v>15</v>
      </c>
      <c r="Z4" s="57" t="s">
        <v>23</v>
      </c>
      <c r="AA4" s="21" t="s">
        <v>35</v>
      </c>
      <c r="AB4" s="7" t="s">
        <v>36</v>
      </c>
      <c r="AC4" s="21" t="s">
        <v>37</v>
      </c>
      <c r="AD4" s="13" t="s">
        <v>112</v>
      </c>
      <c r="AE4" s="56" t="s">
        <v>0</v>
      </c>
      <c r="AF4" s="56" t="s">
        <v>1</v>
      </c>
      <c r="AG4" s="56" t="s">
        <v>2</v>
      </c>
      <c r="AH4" s="56" t="s">
        <v>3</v>
      </c>
      <c r="AI4" s="56" t="s">
        <v>31</v>
      </c>
      <c r="AJ4" s="56" t="s">
        <v>32</v>
      </c>
      <c r="AK4" s="56" t="s">
        <v>33</v>
      </c>
      <c r="AL4" s="56" t="s">
        <v>4</v>
      </c>
      <c r="AM4" s="56" t="s">
        <v>5</v>
      </c>
      <c r="AN4" s="56" t="s">
        <v>6</v>
      </c>
      <c r="AO4" s="56" t="s">
        <v>7</v>
      </c>
      <c r="AP4" s="56" t="s">
        <v>34</v>
      </c>
      <c r="AQ4" s="56" t="s">
        <v>8</v>
      </c>
      <c r="AR4" s="56" t="s">
        <v>17</v>
      </c>
      <c r="AS4" s="56" t="s">
        <v>12</v>
      </c>
      <c r="AT4" s="21" t="s">
        <v>13</v>
      </c>
      <c r="AU4" s="56" t="s">
        <v>14</v>
      </c>
      <c r="AV4" s="56" t="s">
        <v>15</v>
      </c>
      <c r="AW4" s="21" t="s">
        <v>35</v>
      </c>
      <c r="AX4" s="7" t="s">
        <v>36</v>
      </c>
      <c r="AY4" s="21" t="s">
        <v>37</v>
      </c>
      <c r="AZ4" s="21" t="s">
        <v>19</v>
      </c>
      <c r="BC4" s="59" t="s">
        <v>38</v>
      </c>
      <c r="BD4" s="60" t="s">
        <v>39</v>
      </c>
      <c r="BE4" s="61"/>
      <c r="BF4" s="62"/>
      <c r="BG4" s="63"/>
      <c r="BH4" s="63"/>
      <c r="BI4" s="59" t="s">
        <v>38</v>
      </c>
      <c r="BJ4" s="59"/>
      <c r="BK4" s="64" t="s">
        <v>39</v>
      </c>
      <c r="BL4" s="64"/>
      <c r="BM4" s="65" t="s">
        <v>40</v>
      </c>
      <c r="BN4" s="65"/>
      <c r="BO4" s="54" t="s">
        <v>106</v>
      </c>
      <c r="BP4" s="54" t="s">
        <v>107</v>
      </c>
      <c r="BQ4" s="135" t="s">
        <v>108</v>
      </c>
      <c r="BR4" s="13" t="s">
        <v>109</v>
      </c>
      <c r="BS4" s="13" t="s">
        <v>110</v>
      </c>
      <c r="BT4" s="3"/>
      <c r="BU4" s="3" t="s">
        <v>41</v>
      </c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13"/>
      <c r="CJ4" s="13"/>
      <c r="CK4" s="21"/>
      <c r="CL4" s="21"/>
      <c r="CM4" s="21"/>
      <c r="CN4" s="3"/>
      <c r="CO4" s="66"/>
      <c r="CP4" s="56"/>
      <c r="CQ4" s="59"/>
      <c r="CR4" s="59"/>
      <c r="CS4" s="67"/>
      <c r="CT4" s="67"/>
      <c r="CU4" s="59"/>
      <c r="CV4" s="68"/>
      <c r="CW4" s="65"/>
      <c r="CX4" s="69"/>
      <c r="CY4" s="65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</row>
    <row r="5" spans="2:187" s="3" customFormat="1" ht="14.25">
      <c r="B5" s="17"/>
      <c r="D5" s="55"/>
      <c r="E5" s="55" t="s">
        <v>42</v>
      </c>
      <c r="F5" s="56" t="s">
        <v>20</v>
      </c>
      <c r="G5" s="56" t="s">
        <v>20</v>
      </c>
      <c r="H5" s="56" t="s">
        <v>43</v>
      </c>
      <c r="I5" s="56" t="s">
        <v>43</v>
      </c>
      <c r="J5" s="56" t="s">
        <v>24</v>
      </c>
      <c r="K5" s="56" t="s">
        <v>24</v>
      </c>
      <c r="L5" s="56" t="s">
        <v>24</v>
      </c>
      <c r="M5" s="56" t="s">
        <v>24</v>
      </c>
      <c r="N5" s="56" t="s">
        <v>24</v>
      </c>
      <c r="O5" s="56" t="s">
        <v>24</v>
      </c>
      <c r="P5" s="56" t="s">
        <v>24</v>
      </c>
      <c r="Q5" s="56" t="s">
        <v>24</v>
      </c>
      <c r="R5" s="56" t="s">
        <v>24</v>
      </c>
      <c r="S5" s="56"/>
      <c r="T5" s="70" t="s">
        <v>44</v>
      </c>
      <c r="U5" s="56" t="s">
        <v>45</v>
      </c>
      <c r="V5" s="56" t="s">
        <v>24</v>
      </c>
      <c r="W5" s="56" t="s">
        <v>24</v>
      </c>
      <c r="X5" s="56" t="s">
        <v>24</v>
      </c>
      <c r="Y5" s="56" t="s">
        <v>24</v>
      </c>
      <c r="Z5" s="56" t="s">
        <v>24</v>
      </c>
      <c r="AA5" s="56" t="s">
        <v>24</v>
      </c>
      <c r="AB5" s="71" t="s">
        <v>46</v>
      </c>
      <c r="AC5" s="3" t="s">
        <v>24</v>
      </c>
      <c r="AE5" s="3" t="s">
        <v>18</v>
      </c>
      <c r="AF5" s="3" t="s">
        <v>18</v>
      </c>
      <c r="AG5" s="3" t="s">
        <v>21</v>
      </c>
      <c r="AH5" s="3" t="s">
        <v>21</v>
      </c>
      <c r="AI5" s="3" t="s">
        <v>21</v>
      </c>
      <c r="AJ5" s="3" t="s">
        <v>21</v>
      </c>
      <c r="AK5" s="3" t="s">
        <v>21</v>
      </c>
      <c r="AL5" s="3" t="s">
        <v>21</v>
      </c>
      <c r="AM5" s="3" t="s">
        <v>21</v>
      </c>
      <c r="AN5" s="3" t="s">
        <v>21</v>
      </c>
      <c r="AO5" s="3" t="s">
        <v>21</v>
      </c>
      <c r="AP5" s="3" t="s">
        <v>21</v>
      </c>
      <c r="AQ5" s="3" t="s">
        <v>21</v>
      </c>
      <c r="AR5" s="3" t="s">
        <v>47</v>
      </c>
      <c r="AS5" s="3" t="s">
        <v>21</v>
      </c>
      <c r="AT5" s="3" t="s">
        <v>21</v>
      </c>
      <c r="AU5" s="3" t="s">
        <v>21</v>
      </c>
      <c r="AV5" s="3" t="s">
        <v>21</v>
      </c>
      <c r="AW5" s="3" t="s">
        <v>21</v>
      </c>
      <c r="AX5" s="72" t="s">
        <v>48</v>
      </c>
      <c r="AY5" s="3" t="s">
        <v>21</v>
      </c>
      <c r="AZ5" s="3" t="s">
        <v>21</v>
      </c>
      <c r="BA5" s="56" t="s">
        <v>49</v>
      </c>
      <c r="BB5" s="56" t="s">
        <v>50</v>
      </c>
      <c r="BC5" s="56" t="s">
        <v>51</v>
      </c>
      <c r="BD5" s="56" t="s">
        <v>52</v>
      </c>
      <c r="BE5" s="59" t="s">
        <v>53</v>
      </c>
      <c r="BF5" s="59" t="s">
        <v>54</v>
      </c>
      <c r="BG5" s="67" t="s">
        <v>55</v>
      </c>
      <c r="BH5" s="67" t="s">
        <v>56</v>
      </c>
      <c r="BI5" s="59" t="s">
        <v>51</v>
      </c>
      <c r="BJ5" s="59"/>
      <c r="BK5" s="65" t="s">
        <v>57</v>
      </c>
      <c r="BL5" s="65" t="s">
        <v>58</v>
      </c>
      <c r="BM5" s="65" t="s">
        <v>59</v>
      </c>
      <c r="BN5" s="65"/>
      <c r="BO5" s="136"/>
      <c r="BP5" s="136"/>
      <c r="BQ5" s="136"/>
      <c r="BR5" s="136"/>
      <c r="BS5" s="136"/>
      <c r="CO5" s="25"/>
      <c r="CP5" s="73"/>
      <c r="CQ5" s="74"/>
      <c r="CR5" s="75"/>
      <c r="CS5" s="73"/>
      <c r="CT5" s="73"/>
      <c r="CU5" s="76"/>
      <c r="CV5" s="25"/>
      <c r="CW5" s="74"/>
      <c r="CX5" s="77"/>
      <c r="CY5" s="7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</row>
    <row r="6" spans="1:71" ht="12.75">
      <c r="A6" s="78" t="s">
        <v>60</v>
      </c>
      <c r="B6" s="16"/>
      <c r="F6" s="6">
        <v>0.006</v>
      </c>
      <c r="G6" s="6">
        <v>0.002</v>
      </c>
      <c r="H6" s="6">
        <v>0.02</v>
      </c>
      <c r="I6" s="6">
        <v>0.03</v>
      </c>
      <c r="J6" s="6">
        <v>0.01</v>
      </c>
      <c r="K6" s="6">
        <v>0.025</v>
      </c>
      <c r="L6" s="6">
        <v>0.005</v>
      </c>
      <c r="M6" s="6">
        <v>0.1</v>
      </c>
      <c r="N6" s="6">
        <v>0.01</v>
      </c>
      <c r="O6" s="6">
        <v>0.03</v>
      </c>
      <c r="P6" s="6">
        <v>0.01</v>
      </c>
      <c r="Q6" s="6">
        <v>0.05</v>
      </c>
      <c r="R6" s="6">
        <v>0.4</v>
      </c>
      <c r="S6" s="37"/>
      <c r="T6" s="37"/>
      <c r="U6" s="37"/>
      <c r="V6" s="6">
        <v>0.05</v>
      </c>
      <c r="W6" s="6">
        <v>0.07</v>
      </c>
      <c r="X6" s="6">
        <v>0.002</v>
      </c>
      <c r="Y6" s="6">
        <v>0.002</v>
      </c>
      <c r="Z6" s="6">
        <v>0.5</v>
      </c>
      <c r="AA6" s="6">
        <v>0.01</v>
      </c>
      <c r="AB6" s="3"/>
      <c r="AC6" s="6">
        <v>0.01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 t="s">
        <v>61</v>
      </c>
      <c r="BA6" s="3"/>
      <c r="BB6" s="3"/>
      <c r="BC6" s="3"/>
      <c r="BD6" s="3"/>
      <c r="BE6" s="3"/>
      <c r="BF6" s="3"/>
      <c r="BG6" s="3"/>
      <c r="BH6" s="3"/>
      <c r="BI6" s="4"/>
      <c r="BJ6" s="21"/>
      <c r="BK6" s="3"/>
      <c r="BL6" s="3"/>
      <c r="BM6" s="3"/>
      <c r="BN6" s="3"/>
      <c r="BO6" s="7"/>
      <c r="BP6" s="7"/>
      <c r="BQ6" s="7"/>
      <c r="BR6" s="7"/>
      <c r="BS6" s="7"/>
    </row>
    <row r="7" spans="2:83" ht="12.75">
      <c r="B7"/>
      <c r="D7" s="108"/>
      <c r="F7"/>
      <c r="J7" s="1"/>
      <c r="AB7"/>
      <c r="BA7" s="3"/>
      <c r="BB7" s="3"/>
      <c r="BC7" s="3"/>
      <c r="BD7" s="3"/>
      <c r="BE7" s="3"/>
      <c r="BF7" s="3"/>
      <c r="BG7" s="3"/>
      <c r="BH7" s="3"/>
      <c r="BI7" s="4"/>
      <c r="BJ7" s="21"/>
      <c r="BK7" s="3"/>
      <c r="BL7" s="3"/>
      <c r="BM7" s="3"/>
      <c r="BN7" s="3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36"/>
    </row>
    <row r="8" spans="1:84" s="25" customFormat="1" ht="12.75">
      <c r="A8" s="104">
        <v>38279</v>
      </c>
      <c r="B8" s="16">
        <v>13.45</v>
      </c>
      <c r="C8" s="8" t="s">
        <v>79</v>
      </c>
      <c r="D8" s="1">
        <v>815354</v>
      </c>
      <c r="E8" s="110"/>
      <c r="F8" s="34">
        <v>0.0142</v>
      </c>
      <c r="G8" s="9">
        <f>G6</f>
        <v>0.002</v>
      </c>
      <c r="H8" s="27">
        <v>0.0428</v>
      </c>
      <c r="I8" s="28">
        <v>2.458</v>
      </c>
      <c r="J8" s="9">
        <v>0.0226</v>
      </c>
      <c r="K8" s="29">
        <v>0.0250036</v>
      </c>
      <c r="L8" s="9">
        <v>0.014</v>
      </c>
      <c r="M8" s="32">
        <v>0.10006</v>
      </c>
      <c r="N8" s="32">
        <v>0.2663</v>
      </c>
      <c r="O8" s="32">
        <v>0.123</v>
      </c>
      <c r="P8" s="32">
        <v>2.586</v>
      </c>
      <c r="Q8" s="29">
        <v>0.5829</v>
      </c>
      <c r="R8" s="29">
        <v>2.447</v>
      </c>
      <c r="S8" s="8">
        <v>5.5</v>
      </c>
      <c r="T8" s="23">
        <v>19.4</v>
      </c>
      <c r="U8" s="10">
        <v>18.519</v>
      </c>
      <c r="V8" s="9">
        <f>V6</f>
        <v>0.05</v>
      </c>
      <c r="W8" s="32">
        <v>0.6423</v>
      </c>
      <c r="X8" s="9">
        <f>X6</f>
        <v>0.002</v>
      </c>
      <c r="Y8" s="9">
        <f>Y6</f>
        <v>0.002</v>
      </c>
      <c r="Z8" s="33">
        <v>3.407</v>
      </c>
      <c r="AE8" s="106">
        <f>$F8/56*2*1000</f>
        <v>0.5071428571428571</v>
      </c>
      <c r="AF8" s="79">
        <f>$G8/55*2*1000</f>
        <v>0.07272727272727272</v>
      </c>
      <c r="AG8" s="79">
        <f>$H8/27*3*1000</f>
        <v>4.7555555555555555</v>
      </c>
      <c r="AH8" s="79">
        <f>$I8/28*4*1000</f>
        <v>351.14285714285717</v>
      </c>
      <c r="AI8" s="79">
        <f>$J8/14*1*1000</f>
        <v>1.614285714285714</v>
      </c>
      <c r="AJ8" s="79">
        <f>$K8/14*1*1000</f>
        <v>1.7859714285714288</v>
      </c>
      <c r="AK8" s="79">
        <f>$L8/31*3*1000</f>
        <v>1.3548387096774195</v>
      </c>
      <c r="AL8" s="79">
        <f>$M8/39*1*1000</f>
        <v>2.565641025641025</v>
      </c>
      <c r="AM8" s="79">
        <f>$N8/40*2*1000</f>
        <v>13.315</v>
      </c>
      <c r="AN8" s="79">
        <f>$O8/24*2*1000</f>
        <v>10.25</v>
      </c>
      <c r="AO8" s="79">
        <f>$P8/23*1*1000</f>
        <v>112.43478260869564</v>
      </c>
      <c r="AP8" s="79">
        <f>$Q8/32*2*1000</f>
        <v>36.43125</v>
      </c>
      <c r="AQ8" s="79">
        <f>$R8/35*1*1000</f>
        <v>69.91428571428573</v>
      </c>
      <c r="AR8" s="69">
        <f>SUM(10^(6-S8))</f>
        <v>3.1622776601683795</v>
      </c>
      <c r="AS8" s="79">
        <f>$V8/31*3*1000</f>
        <v>4.838709677419355</v>
      </c>
      <c r="AT8" s="79">
        <f>$W8/32*2*1000</f>
        <v>40.14375</v>
      </c>
      <c r="AU8" s="79">
        <f>$X8/63*2*1000</f>
        <v>0.06349206349206349</v>
      </c>
      <c r="AV8" s="79">
        <f>$Y8/65*2*1000</f>
        <v>0.061538461538461535</v>
      </c>
      <c r="AW8" s="69"/>
      <c r="AX8" s="69"/>
      <c r="AY8" s="69"/>
      <c r="AZ8" s="69">
        <f>AI8+AJ8</f>
        <v>3.400257142857143</v>
      </c>
      <c r="BA8" s="111">
        <f>AL8+AM8+AN8+AO8+AI8</f>
        <v>140.1797093486224</v>
      </c>
      <c r="BB8" s="111">
        <f>AJ8+AP8+AQ8</f>
        <v>108.13150714285715</v>
      </c>
      <c r="BC8" s="25">
        <f>ABS(BA8-BB8)/(BA8+BB8)*100</f>
        <v>12.906465788614483</v>
      </c>
      <c r="BD8" s="80">
        <f>(('[1]setup'!$B$13*'[1]setup'!$B$14*'[1]setup'!$B$15)/10^(-S8))*10^6</f>
        <v>3.7496765224552675</v>
      </c>
      <c r="BE8" s="74">
        <f>((10^-(0.96+0.9*S8-0.039*S8^2))*Z8*10)/((10^-(0.96+0.9*S8-0.039*S8^2))+10^(-S8))</f>
        <v>29.121595772280283</v>
      </c>
      <c r="BF8" s="75">
        <f>(AM8+AN8+AO8+AL8+AI8)-(AP8+AQ8+AJ8)</f>
        <v>32.04820220576522</v>
      </c>
      <c r="BG8" s="73">
        <f>(AM8+AN8+AO8+AL8+AI8)+((10^-S8)*10^6)</f>
        <v>143.34198700879074</v>
      </c>
      <c r="BH8" s="73">
        <f>(AP8+AQ8+AJ8+BE8+BD8)</f>
        <v>141.0027794375927</v>
      </c>
      <c r="BI8" s="76">
        <f>ABS(BG8-BH8)/(BG8+BH8)*100</f>
        <v>0.8226659489578227</v>
      </c>
      <c r="BJ8" s="59"/>
      <c r="BK8" s="81">
        <f>(3*('[1]setup'!$D$19*(10^-S8)^3)+2*('[1]setup'!$D$20*'[1]setup'!$D$19*((10^-S8)^2))+('[1]setup'!$D$21*'[1]setup'!$D$19*10^-S8)+('[1]setup'!$D$19*'[1]setup'!$D$22*(AP8/(10^6*2))*(10^-S8)^3))*10^6</f>
        <v>0.018760200530418693</v>
      </c>
      <c r="BL8" s="82">
        <f>(AM8+AN8+AO8+AL8+AI8+(10^-S8)*10^6+BK8)-(AP8+AQ8+AJ8+BD8)</f>
        <v>31.479563544008727</v>
      </c>
      <c r="BM8" s="75">
        <f>(BL8/((('[1]setup'!$C$26)/10^-S8)+2*(('[1]setup'!$C$26*'[1]setup'!$C$27)/(10^-S8^2))+3*(('[1]setup'!$C$26*'[1]setup'!$C$27*'[1]setup'!$C$28)/(10^-S8^3))))/(10^-S8^3/(10^-S8^3+'[1]setup'!$C$26*10^-S8^2+'[1]setup'!$C$26*'[1]setup'!$C$27*10^-S8+'[1]setup'!$C$26*'[1]setup'!$C$27*'[1]setup'!$C$28))</f>
        <v>15.696996550644288</v>
      </c>
      <c r="BN8" s="75"/>
      <c r="BO8" s="137">
        <f>AI8+AL8+AM8+AN8+AO8</f>
        <v>140.1797093486224</v>
      </c>
      <c r="BP8" s="137">
        <f>AJ8+AP8+AQ8</f>
        <v>108.13150714285715</v>
      </c>
      <c r="BQ8" s="137">
        <f>BO8/BP8</f>
        <v>1.2963817212260345</v>
      </c>
      <c r="BR8" s="137">
        <f>(AL8+AM8+AN8+AO8)-(AJ8+AP8+AQ8)</f>
        <v>30.433916491479522</v>
      </c>
      <c r="BS8" s="137">
        <f>AO8/AQ8</f>
        <v>1.6081803805902521</v>
      </c>
      <c r="BT8" s="69"/>
      <c r="BU8" s="25" t="s">
        <v>80</v>
      </c>
      <c r="BW8" s="112"/>
      <c r="BX8" s="113"/>
      <c r="BY8" s="114"/>
      <c r="BZ8" s="114"/>
      <c r="CA8" s="114"/>
      <c r="CB8" s="114"/>
      <c r="CC8" s="123"/>
      <c r="CD8" s="112"/>
      <c r="CE8" s="114"/>
      <c r="CF8" s="115"/>
    </row>
    <row r="9" spans="1:84" s="25" customFormat="1" ht="12.75">
      <c r="A9" s="104">
        <v>38295</v>
      </c>
      <c r="B9" s="16">
        <v>13.2</v>
      </c>
      <c r="C9" s="8" t="s">
        <v>81</v>
      </c>
      <c r="D9" s="8">
        <v>815355</v>
      </c>
      <c r="E9" s="22"/>
      <c r="F9" s="89">
        <v>0.0109</v>
      </c>
      <c r="G9" s="10">
        <f>G6</f>
        <v>0.002</v>
      </c>
      <c r="H9" s="84">
        <v>0.029</v>
      </c>
      <c r="I9" s="85">
        <v>3.103</v>
      </c>
      <c r="J9" s="10">
        <v>0.0264</v>
      </c>
      <c r="K9" s="86">
        <v>0.05084</v>
      </c>
      <c r="L9" s="10">
        <v>0.0165</v>
      </c>
      <c r="M9" s="87">
        <v>0.1887</v>
      </c>
      <c r="N9" s="87">
        <v>0.5479</v>
      </c>
      <c r="O9" s="87">
        <v>0.2722</v>
      </c>
      <c r="P9" s="87">
        <v>2.826</v>
      </c>
      <c r="Q9" s="86">
        <v>0.6785</v>
      </c>
      <c r="R9" s="86">
        <v>2.563</v>
      </c>
      <c r="S9" s="8">
        <v>6.61</v>
      </c>
      <c r="T9" s="23">
        <v>19.7</v>
      </c>
      <c r="U9" s="10">
        <v>22.111</v>
      </c>
      <c r="V9" s="10">
        <f>V6</f>
        <v>0.05</v>
      </c>
      <c r="W9" s="87">
        <v>0.7616</v>
      </c>
      <c r="X9" s="10">
        <f>X6</f>
        <v>0.002</v>
      </c>
      <c r="Y9" s="10">
        <f>Y6</f>
        <v>0.002</v>
      </c>
      <c r="Z9" s="88">
        <v>1.747</v>
      </c>
      <c r="AE9" s="106">
        <f aca="true" t="shared" si="0" ref="AE9:AE72">$F9/56*2*1000</f>
        <v>0.3892857142857143</v>
      </c>
      <c r="AF9" s="79">
        <f aca="true" t="shared" si="1" ref="AF9:AF72">$G9/55*2*1000</f>
        <v>0.07272727272727272</v>
      </c>
      <c r="AG9" s="79">
        <f aca="true" t="shared" si="2" ref="AG9:AG72">$H9/27*3*1000</f>
        <v>3.2222222222222223</v>
      </c>
      <c r="AH9" s="79">
        <f aca="true" t="shared" si="3" ref="AH9:AH72">$I9/28*4*1000</f>
        <v>443.28571428571433</v>
      </c>
      <c r="AI9" s="79">
        <f aca="true" t="shared" si="4" ref="AI9:AI72">$J9/14*1*1000</f>
        <v>1.8857142857142857</v>
      </c>
      <c r="AJ9" s="79">
        <f aca="true" t="shared" si="5" ref="AJ9:AJ72">$K9/14*1*1000</f>
        <v>3.6314285714285717</v>
      </c>
      <c r="AK9" s="79">
        <f aca="true" t="shared" si="6" ref="AK9:AK72">$L9/31*3*1000</f>
        <v>1.5967741935483872</v>
      </c>
      <c r="AL9" s="79">
        <f aca="true" t="shared" si="7" ref="AL9:AL72">$M9/39*1*1000</f>
        <v>4.838461538461539</v>
      </c>
      <c r="AM9" s="79">
        <f aca="true" t="shared" si="8" ref="AM9:AM72">$N9/40*2*1000</f>
        <v>27.395000000000003</v>
      </c>
      <c r="AN9" s="79">
        <f aca="true" t="shared" si="9" ref="AN9:AN72">$O9/24*2*1000</f>
        <v>22.683333333333334</v>
      </c>
      <c r="AO9" s="79">
        <f aca="true" t="shared" si="10" ref="AO9:AO72">$P9/23*1*1000</f>
        <v>122.86956521739131</v>
      </c>
      <c r="AP9" s="79">
        <f aca="true" t="shared" si="11" ref="AP9:AP72">$Q9/32*2*1000</f>
        <v>42.40625</v>
      </c>
      <c r="AQ9" s="79">
        <f aca="true" t="shared" si="12" ref="AQ9:AQ72">$R9/35*1*1000</f>
        <v>73.22857142857143</v>
      </c>
      <c r="AR9" s="69">
        <f aca="true" t="shared" si="13" ref="AR9:AR58">SUM(10^(6-S9))</f>
        <v>0.24547089156850282</v>
      </c>
      <c r="AS9" s="79">
        <f aca="true" t="shared" si="14" ref="AS9:AS72">$V9/31*3*1000</f>
        <v>4.838709677419355</v>
      </c>
      <c r="AT9" s="79">
        <f aca="true" t="shared" si="15" ref="AT9:AT49">$W9/32*2*1000</f>
        <v>47.6</v>
      </c>
      <c r="AU9" s="79">
        <f aca="true" t="shared" si="16" ref="AU9:AU72">$X9/63*2*1000</f>
        <v>0.06349206349206349</v>
      </c>
      <c r="AV9" s="79">
        <f aca="true" t="shared" si="17" ref="AV9:AV72">$Y9/65*2*1000</f>
        <v>0.061538461538461535</v>
      </c>
      <c r="AW9" s="69"/>
      <c r="AX9" s="69"/>
      <c r="AY9" s="69"/>
      <c r="AZ9" s="69">
        <f aca="true" t="shared" si="18" ref="AZ9:AZ58">AI9+AJ9</f>
        <v>5.517142857142858</v>
      </c>
      <c r="BA9" s="111">
        <f>AL9+AM9+AN9+AO9+AI9</f>
        <v>179.67207437490046</v>
      </c>
      <c r="BB9" s="111">
        <f aca="true" t="shared" si="19" ref="BB9:BB58">AJ9+AP9+AQ9</f>
        <v>119.26625</v>
      </c>
      <c r="BC9" s="25">
        <f aca="true" t="shared" si="20" ref="BC9:BC58">ABS(BA9-BB9)/(BA9+BB9)*100</f>
        <v>20.20678496181879</v>
      </c>
      <c r="BD9" s="80">
        <f>(('[1]setup'!$B$13*'[1]setup'!$B$14*'[1]setup'!$B$15)/10^(-S9))*10^6</f>
        <v>48.30519099047277</v>
      </c>
      <c r="BE9" s="74">
        <f aca="true" t="shared" si="21" ref="BE9:BE58">((10^-(0.96+0.9*S9-0.039*S9^2))*Z9*10)/((10^-(0.96+0.9*S9-0.039*S9^2))+10^(-S9))</f>
        <v>16.808489433823773</v>
      </c>
      <c r="BF9" s="75">
        <f aca="true" t="shared" si="22" ref="BF9:BF58">(AM9+AN9+AO9+AL9+AI9)-(AP9+AQ9+AJ9)</f>
        <v>60.40582437490043</v>
      </c>
      <c r="BG9" s="73">
        <f aca="true" t="shared" si="23" ref="BG9:BG58">(AM9+AN9+AO9+AL9+AI9)+((10^-S9)*10^6)</f>
        <v>179.91754526646895</v>
      </c>
      <c r="BH9" s="73">
        <f aca="true" t="shared" si="24" ref="BH9:BH58">(AP9+AQ9+AJ9+BE9+BD9)</f>
        <v>184.37993042429653</v>
      </c>
      <c r="BI9" s="76">
        <f aca="true" t="shared" si="25" ref="BI9:BI58">ABS(BG9-BH9)/(BG9+BH9)*100</f>
        <v>1.2249289263852836</v>
      </c>
      <c r="BJ9" s="59"/>
      <c r="BK9" s="81">
        <f>(3*('[1]setup'!$D$19*(10^-S9)^3)+2*('[1]setup'!$D$20*'[1]setup'!$D$19*((10^-S9)^2))+('[1]setup'!$D$21*'[1]setup'!$D$19*10^-S9)+('[1]setup'!$D$19*'[1]setup'!$D$22*(AP9/(10^6*2))*(10^-S9)^3))*10^6</f>
        <v>0.00025866725187422403</v>
      </c>
      <c r="BL9" s="82">
        <f aca="true" t="shared" si="26" ref="BL9:BL58">(AM9+AN9+AO9+AL9+AI9+(10^-S9)*10^6+BK9)-(AP9+AQ9+AJ9+BD9)</f>
        <v>12.346362943248067</v>
      </c>
      <c r="BM9" s="75">
        <f>(BL9/((('[1]setup'!$C$26)/10^-S9)+2*(('[1]setup'!$C$26*'[1]setup'!$C$27)/(10^-S9^2))+3*(('[1]setup'!$C$26*'[1]setup'!$C$27*'[1]setup'!$C$28)/(10^-S9^3))))/(10^-S9^3/(10^-S9^3+'[1]setup'!$C$26*10^-S9^2+'[1]setup'!$C$26*'[1]setup'!$C$27*10^-S9+'[1]setup'!$C$26*'[1]setup'!$C$27*'[1]setup'!$C$28))</f>
        <v>4.784868086027645</v>
      </c>
      <c r="BN9" s="75"/>
      <c r="BO9" s="137">
        <f aca="true" t="shared" si="27" ref="BO9:BO58">AI9+AL9+AM9+AN9+AO9</f>
        <v>179.6720743749005</v>
      </c>
      <c r="BP9" s="137">
        <f aca="true" t="shared" si="28" ref="BP9:BP58">AJ9+AP9+AQ9</f>
        <v>119.26625</v>
      </c>
      <c r="BQ9" s="137">
        <f aca="true" t="shared" si="29" ref="BQ9:BQ58">BO9/BP9</f>
        <v>1.5064787764761656</v>
      </c>
      <c r="BR9" s="137">
        <f aca="true" t="shared" si="30" ref="BR9:BR58">(AL9+AM9+AN9+AO9)-(AJ9+AP9+AQ9)</f>
        <v>58.52011008918619</v>
      </c>
      <c r="BS9" s="137">
        <f aca="true" t="shared" si="31" ref="BS9:BS58">AO9/AQ9</f>
        <v>1.6778910583724915</v>
      </c>
      <c r="BT9" s="69"/>
      <c r="BW9" s="112"/>
      <c r="BX9" s="113"/>
      <c r="BY9" s="114"/>
      <c r="BZ9" s="114"/>
      <c r="CA9" s="114"/>
      <c r="CB9" s="114"/>
      <c r="CC9" s="123"/>
      <c r="CD9" s="112"/>
      <c r="CE9" s="114"/>
      <c r="CF9" s="115"/>
    </row>
    <row r="10" spans="1:84" s="25" customFormat="1" ht="12.75">
      <c r="A10" s="104">
        <v>38306</v>
      </c>
      <c r="B10" s="16">
        <v>14.45</v>
      </c>
      <c r="C10" s="8" t="s">
        <v>82</v>
      </c>
      <c r="D10" s="1">
        <v>819719</v>
      </c>
      <c r="E10" s="110"/>
      <c r="F10" s="34">
        <v>0.0395</v>
      </c>
      <c r="G10" s="34">
        <v>0.0027</v>
      </c>
      <c r="H10" s="34">
        <v>0.1273</v>
      </c>
      <c r="I10" s="32">
        <v>1.73</v>
      </c>
      <c r="J10" s="9">
        <v>0.022</v>
      </c>
      <c r="K10" s="29">
        <v>0.0250538</v>
      </c>
      <c r="L10" s="124"/>
      <c r="M10" s="32">
        <v>0.1251</v>
      </c>
      <c r="N10" s="32">
        <v>0.6201</v>
      </c>
      <c r="O10" s="32">
        <v>0.3832</v>
      </c>
      <c r="P10" s="32">
        <v>2.502</v>
      </c>
      <c r="Q10" s="29">
        <v>0.4072</v>
      </c>
      <c r="R10" s="29">
        <v>2.883</v>
      </c>
      <c r="S10" s="10">
        <v>5.3</v>
      </c>
      <c r="T10" s="87">
        <v>14.3</v>
      </c>
      <c r="U10" s="8">
        <v>21.342</v>
      </c>
      <c r="V10" s="9">
        <f>V6</f>
        <v>0.05</v>
      </c>
      <c r="W10" s="32">
        <v>0.527</v>
      </c>
      <c r="X10" s="9">
        <f>X6</f>
        <v>0.002</v>
      </c>
      <c r="Y10" s="34">
        <v>0.0065</v>
      </c>
      <c r="Z10" s="33">
        <v>9.551</v>
      </c>
      <c r="AE10" s="106">
        <f t="shared" si="0"/>
        <v>1.4107142857142858</v>
      </c>
      <c r="AF10" s="79">
        <f t="shared" si="1"/>
        <v>0.09818181818181818</v>
      </c>
      <c r="AG10" s="79">
        <f t="shared" si="2"/>
        <v>14.144444444444446</v>
      </c>
      <c r="AH10" s="79">
        <f t="shared" si="3"/>
        <v>247.14285714285714</v>
      </c>
      <c r="AI10" s="79">
        <f t="shared" si="4"/>
        <v>1.5714285714285712</v>
      </c>
      <c r="AJ10" s="79">
        <f t="shared" si="5"/>
        <v>1.789557142857143</v>
      </c>
      <c r="AK10" s="121"/>
      <c r="AL10" s="79">
        <f t="shared" si="7"/>
        <v>3.2076923076923074</v>
      </c>
      <c r="AM10" s="79">
        <f t="shared" si="8"/>
        <v>31.005</v>
      </c>
      <c r="AN10" s="79">
        <f t="shared" si="9"/>
        <v>31.933333333333334</v>
      </c>
      <c r="AO10" s="79">
        <f t="shared" si="10"/>
        <v>108.78260869565216</v>
      </c>
      <c r="AP10" s="79">
        <f t="shared" si="11"/>
        <v>25.45</v>
      </c>
      <c r="AQ10" s="79">
        <f t="shared" si="12"/>
        <v>82.37142857142857</v>
      </c>
      <c r="AR10" s="69">
        <f t="shared" si="13"/>
        <v>5.011872336272726</v>
      </c>
      <c r="AS10" s="79">
        <f t="shared" si="14"/>
        <v>4.838709677419355</v>
      </c>
      <c r="AT10" s="79">
        <f t="shared" si="15"/>
        <v>32.9375</v>
      </c>
      <c r="AU10" s="79">
        <f t="shared" si="16"/>
        <v>0.06349206349206349</v>
      </c>
      <c r="AV10" s="79">
        <f t="shared" si="17"/>
        <v>0.19999999999999998</v>
      </c>
      <c r="AW10" s="69"/>
      <c r="AX10" s="69"/>
      <c r="AY10" s="69"/>
      <c r="AZ10" s="69">
        <f t="shared" si="18"/>
        <v>3.3609857142857145</v>
      </c>
      <c r="BA10" s="111">
        <f aca="true" t="shared" si="32" ref="BA10:BA58">AL10+AM10+AN10+AO10+AI10</f>
        <v>176.5000629081064</v>
      </c>
      <c r="BB10" s="111">
        <f>AJ10+AP10+AQ10</f>
        <v>109.6109857142857</v>
      </c>
      <c r="BC10" s="25">
        <f t="shared" si="20"/>
        <v>23.378711698093333</v>
      </c>
      <c r="BD10" s="80">
        <f>(('[1]setup'!$B$13*'[1]setup'!$B$14*'[1]setup'!$B$15)/10^(-S10))*10^6</f>
        <v>2.365885941268101</v>
      </c>
      <c r="BE10" s="74">
        <f t="shared" si="21"/>
        <v>78.54324334767942</v>
      </c>
      <c r="BF10" s="75">
        <f t="shared" si="22"/>
        <v>66.88907719382065</v>
      </c>
      <c r="BG10" s="73">
        <f t="shared" si="23"/>
        <v>181.5119352443791</v>
      </c>
      <c r="BH10" s="73">
        <f t="shared" si="24"/>
        <v>190.52011500323323</v>
      </c>
      <c r="BI10" s="76">
        <f t="shared" si="25"/>
        <v>2.421345083806245</v>
      </c>
      <c r="BJ10" s="59"/>
      <c r="BK10" s="81">
        <f>(3*('[1]setup'!$D$19*(10^-S10)^3)+2*('[1]setup'!$D$20*'[1]setup'!$D$19*((10^-S10)^2))+('[1]setup'!$D$21*'[1]setup'!$D$19*10^-S10)+('[1]setup'!$D$19*'[1]setup'!$D$22*(AP10/(10^6*2))*(10^-S10)^3))*10^6</f>
        <v>0.05850282675343378</v>
      </c>
      <c r="BL10" s="82">
        <f t="shared" si="26"/>
        <v>69.59356641557869</v>
      </c>
      <c r="BM10" s="75">
        <f>(BL10/((('[1]setup'!$C$26)/10^-S10)+2*(('[1]setup'!$C$26*'[1]setup'!$C$27)/(10^-S10^2))+3*(('[1]setup'!$C$26*'[1]setup'!$C$27*'[1]setup'!$C$28)/(10^-S10^3))))/(10^-S10^3/(10^-S10^3+'[1]setup'!$C$26*10^-S10^2+'[1]setup'!$C$26*'[1]setup'!$C$27*10^-S10+'[1]setup'!$C$26*'[1]setup'!$C$27*'[1]setup'!$C$28))</f>
        <v>36.18852535456373</v>
      </c>
      <c r="BN10" s="75"/>
      <c r="BO10" s="137">
        <f t="shared" si="27"/>
        <v>176.50006290810637</v>
      </c>
      <c r="BP10" s="137">
        <f t="shared" si="28"/>
        <v>109.6109857142857</v>
      </c>
      <c r="BQ10" s="137">
        <f t="shared" si="29"/>
        <v>1.6102406319762066</v>
      </c>
      <c r="BR10" s="137">
        <f t="shared" si="30"/>
        <v>65.31764862239211</v>
      </c>
      <c r="BS10" s="137">
        <f t="shared" si="31"/>
        <v>1.3206352078903316</v>
      </c>
      <c r="BT10" s="69"/>
      <c r="BU10" t="s">
        <v>83</v>
      </c>
      <c r="BW10" s="112"/>
      <c r="BX10" s="113"/>
      <c r="BY10" s="114"/>
      <c r="BZ10" s="114"/>
      <c r="CA10" s="114"/>
      <c r="CB10" s="114"/>
      <c r="CC10" s="123"/>
      <c r="CD10" s="112"/>
      <c r="CE10" s="114"/>
      <c r="CF10" s="115"/>
    </row>
    <row r="11" spans="1:84" s="25" customFormat="1" ht="12.75">
      <c r="A11" s="104">
        <v>38321</v>
      </c>
      <c r="B11" s="16">
        <v>13.35</v>
      </c>
      <c r="C11" s="8" t="s">
        <v>84</v>
      </c>
      <c r="D11" s="1">
        <v>819720</v>
      </c>
      <c r="E11" s="22"/>
      <c r="F11" s="34">
        <v>0.01</v>
      </c>
      <c r="G11" s="9">
        <f>G6</f>
        <v>0.002</v>
      </c>
      <c r="H11" s="34">
        <v>0.0668</v>
      </c>
      <c r="I11" s="32">
        <v>2.705</v>
      </c>
      <c r="J11" s="9">
        <v>0.019</v>
      </c>
      <c r="K11" s="29">
        <v>0.02501</v>
      </c>
      <c r="L11" s="9">
        <v>0.009</v>
      </c>
      <c r="M11" s="32">
        <v>0.1843</v>
      </c>
      <c r="N11" s="32">
        <v>0.5408</v>
      </c>
      <c r="O11" s="32">
        <v>0.3011</v>
      </c>
      <c r="P11" s="32">
        <v>2.552</v>
      </c>
      <c r="Q11" s="29">
        <v>0.6519</v>
      </c>
      <c r="R11" s="29">
        <v>2.79</v>
      </c>
      <c r="S11" s="10">
        <v>6.34</v>
      </c>
      <c r="T11" s="87">
        <v>14.5</v>
      </c>
      <c r="U11" s="89">
        <v>21.001</v>
      </c>
      <c r="V11" s="9">
        <f>V6</f>
        <v>0.05</v>
      </c>
      <c r="W11" s="32">
        <v>0.575</v>
      </c>
      <c r="X11" s="9">
        <f>X6</f>
        <v>0.002</v>
      </c>
      <c r="Y11" s="9">
        <f>Y6</f>
        <v>0.002</v>
      </c>
      <c r="Z11" s="33">
        <v>3.202</v>
      </c>
      <c r="AE11" s="106">
        <f t="shared" si="0"/>
        <v>0.35714285714285715</v>
      </c>
      <c r="AF11" s="79">
        <f t="shared" si="1"/>
        <v>0.07272727272727272</v>
      </c>
      <c r="AG11" s="79">
        <f t="shared" si="2"/>
        <v>7.422222222222222</v>
      </c>
      <c r="AH11" s="79">
        <f t="shared" si="3"/>
        <v>386.42857142857144</v>
      </c>
      <c r="AI11" s="79">
        <f t="shared" si="4"/>
        <v>1.3571428571428572</v>
      </c>
      <c r="AJ11" s="79">
        <f t="shared" si="5"/>
        <v>1.7864285714285715</v>
      </c>
      <c r="AK11" s="79">
        <f t="shared" si="6"/>
        <v>0.8709677419354838</v>
      </c>
      <c r="AL11" s="79">
        <f t="shared" si="7"/>
        <v>4.725641025641026</v>
      </c>
      <c r="AM11" s="79">
        <f t="shared" si="8"/>
        <v>27.04</v>
      </c>
      <c r="AN11" s="79">
        <f t="shared" si="9"/>
        <v>25.091666666666665</v>
      </c>
      <c r="AO11" s="79">
        <f t="shared" si="10"/>
        <v>110.95652173913044</v>
      </c>
      <c r="AP11" s="79">
        <f t="shared" si="11"/>
        <v>40.743750000000006</v>
      </c>
      <c r="AQ11" s="79">
        <f t="shared" si="12"/>
        <v>79.71428571428571</v>
      </c>
      <c r="AR11" s="69">
        <f t="shared" si="13"/>
        <v>0.45708818961487513</v>
      </c>
      <c r="AS11" s="79">
        <f t="shared" si="14"/>
        <v>4.838709677419355</v>
      </c>
      <c r="AT11" s="79">
        <f t="shared" si="15"/>
        <v>35.9375</v>
      </c>
      <c r="AU11" s="79">
        <f t="shared" si="16"/>
        <v>0.06349206349206349</v>
      </c>
      <c r="AV11" s="79">
        <f t="shared" si="17"/>
        <v>0.061538461538461535</v>
      </c>
      <c r="AW11" s="69"/>
      <c r="AX11" s="69"/>
      <c r="AY11" s="69"/>
      <c r="AZ11" s="69">
        <f t="shared" si="18"/>
        <v>3.1435714285714287</v>
      </c>
      <c r="BA11" s="111">
        <f t="shared" si="32"/>
        <v>169.170972288581</v>
      </c>
      <c r="BB11" s="111">
        <f t="shared" si="19"/>
        <v>122.24446428571429</v>
      </c>
      <c r="BC11" s="25">
        <f t="shared" si="20"/>
        <v>16.102958907910484</v>
      </c>
      <c r="BD11" s="80">
        <f>(('[1]setup'!$B$13*'[1]setup'!$B$14*'[1]setup'!$B$15)/10^(-S11))*10^6</f>
        <v>25.941423491621713</v>
      </c>
      <c r="BE11" s="74">
        <f t="shared" si="21"/>
        <v>30.283867234167854</v>
      </c>
      <c r="BF11" s="75">
        <f t="shared" si="22"/>
        <v>46.92650800286671</v>
      </c>
      <c r="BG11" s="73">
        <f t="shared" si="23"/>
        <v>169.62806047819586</v>
      </c>
      <c r="BH11" s="73">
        <f t="shared" si="24"/>
        <v>178.46975501150385</v>
      </c>
      <c r="BI11" s="76">
        <f t="shared" si="25"/>
        <v>2.540002878463802</v>
      </c>
      <c r="BJ11" s="59"/>
      <c r="BK11" s="81">
        <f>(3*('[1]setup'!$D$19*(10^-S11)^3)+2*('[1]setup'!$D$20*'[1]setup'!$D$19*((10^-S11)^2))+('[1]setup'!$D$21*'[1]setup'!$D$19*10^-S11)+('[1]setup'!$D$19*'[1]setup'!$D$22*(AP11/(10^6*2))*(10^-S11)^3))*10^6</f>
        <v>0.0005645654383343235</v>
      </c>
      <c r="BL11" s="82">
        <f t="shared" si="26"/>
        <v>21.442737266298195</v>
      </c>
      <c r="BM11" s="75">
        <f>(BL11/((('[1]setup'!$C$26)/10^-S11)+2*(('[1]setup'!$C$26*'[1]setup'!$C$27)/(10^-S11^2))+3*(('[1]setup'!$C$26*'[1]setup'!$C$27*'[1]setup'!$C$28)/(10^-S11^3))))/(10^-S11^3/(10^-S11^3+'[1]setup'!$C$26*10^-S11^2+'[1]setup'!$C$26*'[1]setup'!$C$27*10^-S11+'[1]setup'!$C$26*'[1]setup'!$C$27*'[1]setup'!$C$28))</f>
        <v>8.862795984729917</v>
      </c>
      <c r="BN11" s="75"/>
      <c r="BO11" s="137">
        <f t="shared" si="27"/>
        <v>169.17097228858097</v>
      </c>
      <c r="BP11" s="137">
        <f t="shared" si="28"/>
        <v>122.24446428571429</v>
      </c>
      <c r="BQ11" s="137">
        <f t="shared" si="29"/>
        <v>1.3838742987427906</v>
      </c>
      <c r="BR11" s="137">
        <f t="shared" si="30"/>
        <v>45.56936514572385</v>
      </c>
      <c r="BS11" s="137">
        <f t="shared" si="31"/>
        <v>1.3919276920679446</v>
      </c>
      <c r="BT11" s="69"/>
      <c r="BU11" t="s">
        <v>69</v>
      </c>
      <c r="BW11" s="112"/>
      <c r="BX11" s="113"/>
      <c r="BY11" s="114"/>
      <c r="BZ11" s="114"/>
      <c r="CA11" s="114"/>
      <c r="CB11" s="114"/>
      <c r="CC11" s="123"/>
      <c r="CD11" s="112"/>
      <c r="CE11" s="114"/>
      <c r="CF11" s="115"/>
    </row>
    <row r="12" spans="1:84" s="25" customFormat="1" ht="12.75">
      <c r="A12" s="104">
        <v>38334</v>
      </c>
      <c r="B12" s="16">
        <v>14.25</v>
      </c>
      <c r="C12" s="8" t="s">
        <v>85</v>
      </c>
      <c r="D12" s="1">
        <v>819721</v>
      </c>
      <c r="E12" s="110"/>
      <c r="F12" s="9">
        <f>F6</f>
        <v>0.006</v>
      </c>
      <c r="G12" s="9">
        <f>G6</f>
        <v>0.002</v>
      </c>
      <c r="H12" s="34">
        <v>0.0348</v>
      </c>
      <c r="I12" s="32">
        <v>3.128</v>
      </c>
      <c r="J12" s="9">
        <v>0.0189</v>
      </c>
      <c r="K12" s="29">
        <v>0.06525</v>
      </c>
      <c r="L12" s="9">
        <v>0.0096</v>
      </c>
      <c r="M12" s="32">
        <v>0.2295</v>
      </c>
      <c r="N12" s="32">
        <v>0.5954</v>
      </c>
      <c r="O12" s="32">
        <v>0.3517</v>
      </c>
      <c r="P12" s="32">
        <v>2.672</v>
      </c>
      <c r="Q12" s="29">
        <v>0.6866</v>
      </c>
      <c r="R12" s="29">
        <v>2.779</v>
      </c>
      <c r="S12" s="10">
        <v>6.48</v>
      </c>
      <c r="T12" s="87">
        <v>15</v>
      </c>
      <c r="U12" s="8">
        <v>22.516</v>
      </c>
      <c r="V12" s="125"/>
      <c r="W12" s="32">
        <v>0.7054</v>
      </c>
      <c r="X12" s="9">
        <f>X6</f>
        <v>0.002</v>
      </c>
      <c r="Y12" s="9">
        <f>Y6</f>
        <v>0.002</v>
      </c>
      <c r="Z12" s="33">
        <v>1.74</v>
      </c>
      <c r="AE12" s="106">
        <f t="shared" si="0"/>
        <v>0.2142857142857143</v>
      </c>
      <c r="AF12" s="79">
        <f t="shared" si="1"/>
        <v>0.07272727272727272</v>
      </c>
      <c r="AG12" s="79">
        <f t="shared" si="2"/>
        <v>3.8666666666666667</v>
      </c>
      <c r="AH12" s="79">
        <f t="shared" si="3"/>
        <v>446.8571428571429</v>
      </c>
      <c r="AI12" s="79">
        <f t="shared" si="4"/>
        <v>1.35</v>
      </c>
      <c r="AJ12" s="79">
        <f t="shared" si="5"/>
        <v>4.6607142857142865</v>
      </c>
      <c r="AK12" s="79">
        <f t="shared" si="6"/>
        <v>0.9290322580645161</v>
      </c>
      <c r="AL12" s="79">
        <f t="shared" si="7"/>
        <v>5.884615384615385</v>
      </c>
      <c r="AM12" s="79">
        <f t="shared" si="8"/>
        <v>29.77</v>
      </c>
      <c r="AN12" s="79">
        <f t="shared" si="9"/>
        <v>29.308333333333337</v>
      </c>
      <c r="AO12" s="79">
        <f t="shared" si="10"/>
        <v>116.17391304347827</v>
      </c>
      <c r="AP12" s="79">
        <f t="shared" si="11"/>
        <v>42.9125</v>
      </c>
      <c r="AQ12" s="79">
        <f t="shared" si="12"/>
        <v>79.39999999999999</v>
      </c>
      <c r="AR12" s="69">
        <f t="shared" si="13"/>
        <v>0.3311311214825907</v>
      </c>
      <c r="AS12" s="121"/>
      <c r="AT12" s="79">
        <f t="shared" si="15"/>
        <v>44.0875</v>
      </c>
      <c r="AU12" s="79">
        <f t="shared" si="16"/>
        <v>0.06349206349206349</v>
      </c>
      <c r="AV12" s="79">
        <f t="shared" si="17"/>
        <v>0.061538461538461535</v>
      </c>
      <c r="AW12" s="69"/>
      <c r="AX12" s="69"/>
      <c r="AY12" s="69"/>
      <c r="AZ12" s="69">
        <f t="shared" si="18"/>
        <v>6.010714285714286</v>
      </c>
      <c r="BA12" s="111">
        <f t="shared" si="32"/>
        <v>182.48686176142698</v>
      </c>
      <c r="BB12" s="111">
        <f t="shared" si="19"/>
        <v>126.97321428571428</v>
      </c>
      <c r="BC12" s="25">
        <f t="shared" si="20"/>
        <v>17.93887217530965</v>
      </c>
      <c r="BD12" s="80">
        <f>(('[1]setup'!$B$13*'[1]setup'!$B$14*'[1]setup'!$B$15)/10^(-S12))*10^6</f>
        <v>35.80913278923425</v>
      </c>
      <c r="BE12" s="74">
        <f t="shared" si="21"/>
        <v>16.614991216652417</v>
      </c>
      <c r="BF12" s="75">
        <f t="shared" si="22"/>
        <v>55.51364747571269</v>
      </c>
      <c r="BG12" s="73">
        <f t="shared" si="23"/>
        <v>182.81799288290958</v>
      </c>
      <c r="BH12" s="73">
        <f t="shared" si="24"/>
        <v>179.39733829160096</v>
      </c>
      <c r="BI12" s="76">
        <f t="shared" si="25"/>
        <v>0.9443704605812483</v>
      </c>
      <c r="BJ12" s="59"/>
      <c r="BK12" s="81">
        <f>(3*('[1]setup'!$D$19*(10^-S12)^3)+2*('[1]setup'!$D$20*'[1]setup'!$D$19*((10^-S12)^2))+('[1]setup'!$D$21*'[1]setup'!$D$19*10^-S12)+('[1]setup'!$D$19*'[1]setup'!$D$22*(AP12/(10^6*2))*(10^-S12)^3))*10^6</f>
        <v>0.00037216828400262576</v>
      </c>
      <c r="BL12" s="82">
        <f t="shared" si="26"/>
        <v>20.036017976245034</v>
      </c>
      <c r="BM12" s="75">
        <f>(BL12/((('[1]setup'!$C$26)/10^-S12)+2*(('[1]setup'!$C$26*'[1]setup'!$C$27)/(10^-S12^2))+3*(('[1]setup'!$C$26*'[1]setup'!$C$27*'[1]setup'!$C$28)/(10^-S12^3))))/(10^-S12^3/(10^-S12^3+'[1]setup'!$C$26*10^-S12^2+'[1]setup'!$C$26*'[1]setup'!$C$27*10^-S12+'[1]setup'!$C$26*'[1]setup'!$C$27*'[1]setup'!$C$28))</f>
        <v>8.002768858959461</v>
      </c>
      <c r="BN12" s="75"/>
      <c r="BO12" s="137">
        <f t="shared" si="27"/>
        <v>182.486861761427</v>
      </c>
      <c r="BP12" s="137">
        <f t="shared" si="28"/>
        <v>126.97321428571428</v>
      </c>
      <c r="BQ12" s="137">
        <f t="shared" si="29"/>
        <v>1.437207546394756</v>
      </c>
      <c r="BR12" s="137">
        <f t="shared" si="30"/>
        <v>54.16364747571271</v>
      </c>
      <c r="BS12" s="137">
        <f t="shared" si="31"/>
        <v>1.4631475194392731</v>
      </c>
      <c r="BT12" s="69"/>
      <c r="BU12" t="s">
        <v>70</v>
      </c>
      <c r="BW12" s="126"/>
      <c r="BX12" s="127"/>
      <c r="BY12" s="128"/>
      <c r="BZ12" s="128"/>
      <c r="CA12" s="128"/>
      <c r="CB12" s="128"/>
      <c r="CC12" s="81"/>
      <c r="CD12" s="126"/>
      <c r="CE12" s="128"/>
      <c r="CF12" s="129"/>
    </row>
    <row r="13" spans="1:84" s="25" customFormat="1" ht="12.75">
      <c r="A13" s="104">
        <v>38349</v>
      </c>
      <c r="B13" s="16">
        <v>14.3</v>
      </c>
      <c r="C13" s="8" t="s">
        <v>86</v>
      </c>
      <c r="D13" s="1">
        <v>819722</v>
      </c>
      <c r="E13" s="116"/>
      <c r="F13" s="34">
        <v>0.0134</v>
      </c>
      <c r="G13" s="34">
        <v>0.0024</v>
      </c>
      <c r="H13" s="34">
        <v>0.0801</v>
      </c>
      <c r="I13" s="32">
        <v>2.347</v>
      </c>
      <c r="J13" s="9">
        <v>0.0184</v>
      </c>
      <c r="K13" s="29">
        <v>0.03336</v>
      </c>
      <c r="L13" s="9">
        <v>0.0092</v>
      </c>
      <c r="M13" s="32">
        <v>0.10002</v>
      </c>
      <c r="N13" s="32">
        <v>0.4946</v>
      </c>
      <c r="O13" s="32">
        <v>0.3086</v>
      </c>
      <c r="P13" s="32">
        <v>2.681</v>
      </c>
      <c r="Q13" s="29">
        <v>0.5588</v>
      </c>
      <c r="R13" s="29">
        <v>2.911</v>
      </c>
      <c r="S13" s="10">
        <v>6.11</v>
      </c>
      <c r="T13" s="87">
        <v>15.8</v>
      </c>
      <c r="U13" s="89">
        <v>20.033</v>
      </c>
      <c r="V13" s="9">
        <f>V6</f>
        <v>0.05</v>
      </c>
      <c r="W13" s="32">
        <v>0.6524</v>
      </c>
      <c r="X13" s="9">
        <f>X6</f>
        <v>0.002</v>
      </c>
      <c r="Y13" s="34">
        <v>0.0043</v>
      </c>
      <c r="Z13" s="33">
        <v>3.36</v>
      </c>
      <c r="AE13" s="106">
        <f t="shared" si="0"/>
        <v>0.4785714285714286</v>
      </c>
      <c r="AF13" s="79">
        <f t="shared" si="1"/>
        <v>0.08727272727272727</v>
      </c>
      <c r="AG13" s="79">
        <f t="shared" si="2"/>
        <v>8.900000000000002</v>
      </c>
      <c r="AH13" s="79">
        <f t="shared" si="3"/>
        <v>335.2857142857143</v>
      </c>
      <c r="AI13" s="79">
        <f t="shared" si="4"/>
        <v>1.3142857142857143</v>
      </c>
      <c r="AJ13" s="79">
        <f t="shared" si="5"/>
        <v>2.3828571428571426</v>
      </c>
      <c r="AK13" s="79">
        <f t="shared" si="6"/>
        <v>0.8903225806451613</v>
      </c>
      <c r="AL13" s="79">
        <f t="shared" si="7"/>
        <v>2.5646153846153843</v>
      </c>
      <c r="AM13" s="79">
        <f t="shared" si="8"/>
        <v>24.729999999999997</v>
      </c>
      <c r="AN13" s="79">
        <f t="shared" si="9"/>
        <v>25.716666666666665</v>
      </c>
      <c r="AO13" s="79">
        <f t="shared" si="10"/>
        <v>116.56521739130434</v>
      </c>
      <c r="AP13" s="79">
        <f t="shared" si="11"/>
        <v>34.925</v>
      </c>
      <c r="AQ13" s="79">
        <f t="shared" si="12"/>
        <v>83.17142857142858</v>
      </c>
      <c r="AR13" s="69">
        <f t="shared" si="13"/>
        <v>0.7762471166286912</v>
      </c>
      <c r="AS13" s="79">
        <f t="shared" si="14"/>
        <v>4.838709677419355</v>
      </c>
      <c r="AT13" s="79">
        <f t="shared" si="15"/>
        <v>40.775</v>
      </c>
      <c r="AU13" s="79">
        <f t="shared" si="16"/>
        <v>0.06349206349206349</v>
      </c>
      <c r="AV13" s="79">
        <f t="shared" si="17"/>
        <v>0.13230769230769232</v>
      </c>
      <c r="AW13" s="69"/>
      <c r="AX13" s="69"/>
      <c r="AY13" s="69"/>
      <c r="AZ13" s="69">
        <f t="shared" si="18"/>
        <v>3.6971428571428566</v>
      </c>
      <c r="BA13" s="111">
        <f t="shared" si="32"/>
        <v>170.8907851568721</v>
      </c>
      <c r="BB13" s="111">
        <f t="shared" si="19"/>
        <v>120.47928571428571</v>
      </c>
      <c r="BC13" s="25">
        <f t="shared" si="20"/>
        <v>17.30153659635072</v>
      </c>
      <c r="BD13" s="80">
        <f>(('[1]setup'!$B$13*'[1]setup'!$B$14*'[1]setup'!$B$15)/10^(-S13))*10^6</f>
        <v>15.275442633933878</v>
      </c>
      <c r="BE13" s="74">
        <f t="shared" si="21"/>
        <v>31.163875077589534</v>
      </c>
      <c r="BF13" s="75">
        <f t="shared" si="22"/>
        <v>50.41149944258639</v>
      </c>
      <c r="BG13" s="73">
        <f t="shared" si="23"/>
        <v>171.6670322735008</v>
      </c>
      <c r="BH13" s="73">
        <f t="shared" si="24"/>
        <v>166.91860342580912</v>
      </c>
      <c r="BI13" s="76">
        <f t="shared" si="25"/>
        <v>1.4024306843036467</v>
      </c>
      <c r="BJ13" s="59"/>
      <c r="BK13" s="81">
        <f>(3*('[1]setup'!$D$19*(10^-S13)^3)+2*('[1]setup'!$D$20*'[1]setup'!$D$19*((10^-S13)^2))+('[1]setup'!$D$21*'[1]setup'!$D$19*10^-S13)+('[1]setup'!$D$19*'[1]setup'!$D$22*(AP13/(10^6*2))*(10^-S13)^3))*10^6</f>
        <v>0.0012106743391811447</v>
      </c>
      <c r="BL13" s="82">
        <f t="shared" si="26"/>
        <v>35.913514599620385</v>
      </c>
      <c r="BM13" s="75">
        <f>(BL13/((('[1]setup'!$C$26)/10^-S13)+2*(('[1]setup'!$C$26*'[1]setup'!$C$27)/(10^-S13^2))+3*(('[1]setup'!$C$26*'[1]setup'!$C$27*'[1]setup'!$C$28)/(10^-S13^3))))/(10^-S13^3/(10^-S13^3+'[1]setup'!$C$26*10^-S13^2+'[1]setup'!$C$26*'[1]setup'!$C$27*10^-S13+'[1]setup'!$C$26*'[1]setup'!$C$27*'[1]setup'!$C$28))</f>
        <v>15.707489508111392</v>
      </c>
      <c r="BN13" s="75"/>
      <c r="BO13" s="137">
        <f t="shared" si="27"/>
        <v>170.8907851568721</v>
      </c>
      <c r="BP13" s="137">
        <f t="shared" si="28"/>
        <v>120.47928571428571</v>
      </c>
      <c r="BQ13" s="137">
        <f t="shared" si="29"/>
        <v>1.4184246208276525</v>
      </c>
      <c r="BR13" s="137">
        <f t="shared" si="30"/>
        <v>49.09721372830069</v>
      </c>
      <c r="BS13" s="137">
        <f t="shared" si="31"/>
        <v>1.4015055337326183</v>
      </c>
      <c r="BT13" s="69"/>
      <c r="BU13" s="25" t="s">
        <v>71</v>
      </c>
      <c r="BW13" s="126"/>
      <c r="BX13" s="127"/>
      <c r="BY13" s="128"/>
      <c r="BZ13" s="128"/>
      <c r="CA13" s="128"/>
      <c r="CB13" s="128"/>
      <c r="CC13" s="81"/>
      <c r="CD13" s="126"/>
      <c r="CE13" s="128"/>
      <c r="CF13" s="129"/>
    </row>
    <row r="14" spans="1:84" s="25" customFormat="1" ht="12.75">
      <c r="A14" s="104">
        <v>38363</v>
      </c>
      <c r="B14" s="16">
        <v>13</v>
      </c>
      <c r="C14" s="8" t="s">
        <v>87</v>
      </c>
      <c r="D14" s="1">
        <v>819723</v>
      </c>
      <c r="E14" s="22"/>
      <c r="F14" s="9">
        <f>F6</f>
        <v>0.006</v>
      </c>
      <c r="G14" s="9">
        <f>G6</f>
        <v>0.002</v>
      </c>
      <c r="H14" s="34">
        <v>0.0286</v>
      </c>
      <c r="I14" s="32">
        <v>2.205</v>
      </c>
      <c r="J14" s="9">
        <v>0.0195</v>
      </c>
      <c r="K14" s="29">
        <v>0.05624</v>
      </c>
      <c r="L14" s="9">
        <v>0.0091</v>
      </c>
      <c r="M14" s="32">
        <v>0.1656</v>
      </c>
      <c r="N14" s="32">
        <v>0.2322</v>
      </c>
      <c r="O14" s="32">
        <v>0.2098</v>
      </c>
      <c r="P14" s="32">
        <v>2.125</v>
      </c>
      <c r="Q14" s="9">
        <v>0.5546</v>
      </c>
      <c r="R14" s="29">
        <v>3.554</v>
      </c>
      <c r="S14" s="10">
        <v>5.75</v>
      </c>
      <c r="T14" s="87">
        <v>15</v>
      </c>
      <c r="U14" s="89">
        <v>17.585</v>
      </c>
      <c r="V14" s="9">
        <f>V6</f>
        <v>0.05</v>
      </c>
      <c r="W14" s="32">
        <v>0.6024</v>
      </c>
      <c r="X14" s="9">
        <f>X6</f>
        <v>0.002</v>
      </c>
      <c r="Y14" s="9">
        <f>Y6</f>
        <v>0.002</v>
      </c>
      <c r="Z14" s="33">
        <v>1.796</v>
      </c>
      <c r="AE14" s="106">
        <f t="shared" si="0"/>
        <v>0.2142857142857143</v>
      </c>
      <c r="AF14" s="79">
        <f t="shared" si="1"/>
        <v>0.07272727272727272</v>
      </c>
      <c r="AG14" s="79">
        <f t="shared" si="2"/>
        <v>3.177777777777778</v>
      </c>
      <c r="AH14" s="79">
        <f t="shared" si="3"/>
        <v>315</v>
      </c>
      <c r="AI14" s="79">
        <f t="shared" si="4"/>
        <v>1.392857142857143</v>
      </c>
      <c r="AJ14" s="79">
        <f t="shared" si="5"/>
        <v>4.017142857142857</v>
      </c>
      <c r="AK14" s="79">
        <f t="shared" si="6"/>
        <v>0.8806451612903227</v>
      </c>
      <c r="AL14" s="79">
        <f t="shared" si="7"/>
        <v>4.246153846153845</v>
      </c>
      <c r="AM14" s="79">
        <f t="shared" si="8"/>
        <v>11.61</v>
      </c>
      <c r="AN14" s="79">
        <f t="shared" si="9"/>
        <v>17.483333333333334</v>
      </c>
      <c r="AO14" s="79">
        <f t="shared" si="10"/>
        <v>92.39130434782608</v>
      </c>
      <c r="AP14" s="79">
        <f t="shared" si="11"/>
        <v>34.6625</v>
      </c>
      <c r="AQ14" s="79">
        <f t="shared" si="12"/>
        <v>101.54285714285714</v>
      </c>
      <c r="AR14" s="69">
        <f t="shared" si="13"/>
        <v>1.778279410038923</v>
      </c>
      <c r="AS14" s="79">
        <f t="shared" si="14"/>
        <v>4.838709677419355</v>
      </c>
      <c r="AT14" s="79">
        <f t="shared" si="15"/>
        <v>37.650000000000006</v>
      </c>
      <c r="AU14" s="79">
        <f t="shared" si="16"/>
        <v>0.06349206349206349</v>
      </c>
      <c r="AV14" s="79">
        <f t="shared" si="17"/>
        <v>0.061538461538461535</v>
      </c>
      <c r="AW14" s="69"/>
      <c r="AX14" s="69"/>
      <c r="AY14" s="69"/>
      <c r="AZ14" s="69">
        <f t="shared" si="18"/>
        <v>5.41</v>
      </c>
      <c r="BA14" s="111">
        <f t="shared" si="32"/>
        <v>127.1236486701704</v>
      </c>
      <c r="BB14" s="111">
        <f t="shared" si="19"/>
        <v>140.2225</v>
      </c>
      <c r="BC14" s="25">
        <f t="shared" si="20"/>
        <v>4.899584824762103</v>
      </c>
      <c r="BD14" s="80">
        <f>(('[1]setup'!$B$13*'[1]setup'!$B$14*'[1]setup'!$B$15)/10^(-S14))*10^6</f>
        <v>6.667972554188561</v>
      </c>
      <c r="BE14" s="74">
        <f t="shared" si="21"/>
        <v>15.969941572962409</v>
      </c>
      <c r="BF14" s="75">
        <f t="shared" si="22"/>
        <v>-13.0988513298296</v>
      </c>
      <c r="BG14" s="73">
        <f t="shared" si="23"/>
        <v>128.9019280802093</v>
      </c>
      <c r="BH14" s="73">
        <f t="shared" si="24"/>
        <v>162.86041412715096</v>
      </c>
      <c r="BI14" s="76">
        <f t="shared" si="25"/>
        <v>11.639091525666053</v>
      </c>
      <c r="BJ14" s="59"/>
      <c r="BK14" s="81">
        <f>(3*('[1]setup'!$D$19*(10^-S14)^3)+2*('[1]setup'!$D$20*'[1]setup'!$D$19*((10^-S14)^2))+('[1]setup'!$D$21*'[1]setup'!$D$19*10^-S14)+('[1]setup'!$D$19*'[1]setup'!$D$22*(AP14/(10^6*2))*(10^-S14)^3))*10^6</f>
        <v>0.005295199526009564</v>
      </c>
      <c r="BL14" s="82">
        <f t="shared" si="26"/>
        <v>-17.983249274453243</v>
      </c>
      <c r="BM14" s="75">
        <f>(BL14/((('[1]setup'!$C$26)/10^-S14)+2*(('[1]setup'!$C$26*'[1]setup'!$C$27)/(10^-S14^2))+3*(('[1]setup'!$C$26*'[1]setup'!$C$27*'[1]setup'!$C$28)/(10^-S14^3))))/(10^-S14^3/(10^-S14^3+'[1]setup'!$C$26*10^-S14^2+'[1]setup'!$C$26*'[1]setup'!$C$27*10^-S14+'[1]setup'!$C$26*'[1]setup'!$C$27*'[1]setup'!$C$28))</f>
        <v>-8.524719602256063</v>
      </c>
      <c r="BN14" s="75"/>
      <c r="BO14" s="137">
        <f t="shared" si="27"/>
        <v>127.1236486701704</v>
      </c>
      <c r="BP14" s="137">
        <f t="shared" si="28"/>
        <v>140.2225</v>
      </c>
      <c r="BQ14" s="137">
        <f t="shared" si="29"/>
        <v>0.906585238960726</v>
      </c>
      <c r="BR14" s="137">
        <f t="shared" si="30"/>
        <v>-14.491708472686739</v>
      </c>
      <c r="BS14" s="137">
        <f t="shared" si="31"/>
        <v>0.9098749724743704</v>
      </c>
      <c r="BT14" s="69"/>
      <c r="BU14" t="s">
        <v>88</v>
      </c>
      <c r="BW14" s="126"/>
      <c r="BX14" s="127"/>
      <c r="BY14" s="128"/>
      <c r="BZ14" s="128"/>
      <c r="CA14" s="128"/>
      <c r="CB14" s="128"/>
      <c r="CC14" s="81"/>
      <c r="CD14" s="126"/>
      <c r="CE14" s="128"/>
      <c r="CF14" s="129"/>
    </row>
    <row r="15" spans="1:84" s="25" customFormat="1" ht="12.75">
      <c r="A15" s="104">
        <v>38377</v>
      </c>
      <c r="B15" s="75">
        <v>13.45</v>
      </c>
      <c r="C15" s="8" t="s">
        <v>89</v>
      </c>
      <c r="D15" s="1">
        <v>819724</v>
      </c>
      <c r="E15" s="110"/>
      <c r="F15" s="9">
        <f>F6</f>
        <v>0.006</v>
      </c>
      <c r="G15" s="9">
        <f>G6</f>
        <v>0.002</v>
      </c>
      <c r="H15" s="34">
        <v>0.0359</v>
      </c>
      <c r="I15" s="32">
        <v>2.563</v>
      </c>
      <c r="J15" s="9">
        <v>0.0185</v>
      </c>
      <c r="K15" s="29">
        <v>0.04195</v>
      </c>
      <c r="L15" s="9">
        <v>0.0101</v>
      </c>
      <c r="M15" s="32">
        <v>0.2011</v>
      </c>
      <c r="N15" s="32">
        <v>0.5691</v>
      </c>
      <c r="O15" s="32">
        <v>0.4148</v>
      </c>
      <c r="P15" s="32">
        <v>3.016</v>
      </c>
      <c r="Q15" s="29">
        <v>0.6756</v>
      </c>
      <c r="R15" s="29">
        <v>4.419</v>
      </c>
      <c r="S15" s="10">
        <v>6.2</v>
      </c>
      <c r="T15" s="87">
        <v>14.9</v>
      </c>
      <c r="U15" s="89">
        <v>25.225</v>
      </c>
      <c r="V15" s="9">
        <f>V6</f>
        <v>0.05</v>
      </c>
      <c r="W15" s="32">
        <v>0.7071</v>
      </c>
      <c r="X15" s="9">
        <f>X6</f>
        <v>0.002</v>
      </c>
      <c r="Y15" s="9">
        <f>Y6</f>
        <v>0.002</v>
      </c>
      <c r="Z15" s="33">
        <v>1.601</v>
      </c>
      <c r="AE15" s="106">
        <f t="shared" si="0"/>
        <v>0.2142857142857143</v>
      </c>
      <c r="AF15" s="79">
        <f t="shared" si="1"/>
        <v>0.07272727272727272</v>
      </c>
      <c r="AG15" s="79">
        <f t="shared" si="2"/>
        <v>3.988888888888889</v>
      </c>
      <c r="AH15" s="79">
        <f t="shared" si="3"/>
        <v>366.14285714285717</v>
      </c>
      <c r="AI15" s="79">
        <f t="shared" si="4"/>
        <v>1.3214285714285712</v>
      </c>
      <c r="AJ15" s="79">
        <f t="shared" si="5"/>
        <v>2.9964285714285714</v>
      </c>
      <c r="AK15" s="79">
        <f t="shared" si="6"/>
        <v>0.9774193548387096</v>
      </c>
      <c r="AL15" s="79">
        <f t="shared" si="7"/>
        <v>5.156410256410256</v>
      </c>
      <c r="AM15" s="79">
        <f t="shared" si="8"/>
        <v>28.455000000000002</v>
      </c>
      <c r="AN15" s="79">
        <f t="shared" si="9"/>
        <v>34.56666666666667</v>
      </c>
      <c r="AO15" s="79">
        <f t="shared" si="10"/>
        <v>131.1304347826087</v>
      </c>
      <c r="AP15" s="79">
        <f t="shared" si="11"/>
        <v>42.225</v>
      </c>
      <c r="AQ15" s="79">
        <f t="shared" si="12"/>
        <v>126.25714285714284</v>
      </c>
      <c r="AR15" s="69">
        <f t="shared" si="13"/>
        <v>0.6309573444801929</v>
      </c>
      <c r="AS15" s="79">
        <f t="shared" si="14"/>
        <v>4.838709677419355</v>
      </c>
      <c r="AT15" s="79">
        <f t="shared" si="15"/>
        <v>44.193749999999994</v>
      </c>
      <c r="AU15" s="79">
        <f t="shared" si="16"/>
        <v>0.06349206349206349</v>
      </c>
      <c r="AV15" s="79">
        <f t="shared" si="17"/>
        <v>0.061538461538461535</v>
      </c>
      <c r="AW15" s="69"/>
      <c r="AX15" s="69"/>
      <c r="AY15" s="69"/>
      <c r="AZ15" s="69">
        <f t="shared" si="18"/>
        <v>4.317857142857143</v>
      </c>
      <c r="BA15" s="111">
        <f t="shared" si="32"/>
        <v>200.6299402771142</v>
      </c>
      <c r="BB15" s="111">
        <f t="shared" si="19"/>
        <v>171.4785714285714</v>
      </c>
      <c r="BC15" s="25">
        <f t="shared" si="20"/>
        <v>7.834104281817584</v>
      </c>
      <c r="BD15" s="80">
        <f>(('[1]setup'!$B$13*'[1]setup'!$B$14*'[1]setup'!$B$15)/10^(-S15))*10^6</f>
        <v>18.792900032864864</v>
      </c>
      <c r="BE15" s="74">
        <f t="shared" si="21"/>
        <v>14.972173286995524</v>
      </c>
      <c r="BF15" s="75">
        <f t="shared" si="22"/>
        <v>29.151368848542802</v>
      </c>
      <c r="BG15" s="73">
        <f t="shared" si="23"/>
        <v>201.26089762159438</v>
      </c>
      <c r="BH15" s="73">
        <f t="shared" si="24"/>
        <v>205.2436447484318</v>
      </c>
      <c r="BI15" s="76">
        <f t="shared" si="25"/>
        <v>0.9797546427444496</v>
      </c>
      <c r="BJ15" s="59"/>
      <c r="BK15" s="81">
        <f>(3*('[1]setup'!$D$19*(10^-S15)^3)+2*('[1]setup'!$D$20*'[1]setup'!$D$19*((10^-S15)^2))+('[1]setup'!$D$21*'[1]setup'!$D$19*10^-S15)+('[1]setup'!$D$19*'[1]setup'!$D$22*(AP15/(10^6*2))*(10^-S15)^3))*10^6</f>
        <v>0.0008861195451130649</v>
      </c>
      <c r="BL15" s="82">
        <f t="shared" si="26"/>
        <v>10.990312279703232</v>
      </c>
      <c r="BM15" s="75">
        <f>(BL15/((('[1]setup'!$C$26)/10^-S15)+2*(('[1]setup'!$C$26*'[1]setup'!$C$27)/(10^-S15^2))+3*(('[1]setup'!$C$26*'[1]setup'!$C$27*'[1]setup'!$C$28)/(10^-S15^3))))/(10^-S15^3/(10^-S15^3+'[1]setup'!$C$26*10^-S15^2+'[1]setup'!$C$26*'[1]setup'!$C$27*10^-S15+'[1]setup'!$C$26*'[1]setup'!$C$27*'[1]setup'!$C$28))</f>
        <v>4.702725156281853</v>
      </c>
      <c r="BN15" s="75"/>
      <c r="BO15" s="137">
        <f t="shared" si="27"/>
        <v>200.6299402771142</v>
      </c>
      <c r="BP15" s="137">
        <f t="shared" si="28"/>
        <v>171.4785714285714</v>
      </c>
      <c r="BQ15" s="137">
        <f t="shared" si="29"/>
        <v>1.1700000682632563</v>
      </c>
      <c r="BR15" s="137">
        <f t="shared" si="30"/>
        <v>27.82994027711422</v>
      </c>
      <c r="BS15" s="137">
        <f t="shared" si="31"/>
        <v>1.0385981483121305</v>
      </c>
      <c r="BT15" s="69"/>
      <c r="BU15" s="25" t="s">
        <v>72</v>
      </c>
      <c r="BW15" s="126"/>
      <c r="BX15" s="127"/>
      <c r="BY15" s="128"/>
      <c r="BZ15" s="128"/>
      <c r="CA15" s="128"/>
      <c r="CB15" s="128"/>
      <c r="CC15" s="81"/>
      <c r="CD15" s="126"/>
      <c r="CE15" s="128"/>
      <c r="CF15" s="129"/>
    </row>
    <row r="16" spans="1:84" s="8" customFormat="1" ht="12.75">
      <c r="A16" s="104">
        <v>38405</v>
      </c>
      <c r="B16" s="16">
        <v>14.45</v>
      </c>
      <c r="C16" s="24" t="s">
        <v>90</v>
      </c>
      <c r="D16" s="83">
        <v>820505</v>
      </c>
      <c r="E16" s="22"/>
      <c r="F16" s="91">
        <v>0.01</v>
      </c>
      <c r="G16" s="76">
        <f>G6</f>
        <v>0.002</v>
      </c>
      <c r="H16" s="24">
        <v>0.035</v>
      </c>
      <c r="I16" s="24">
        <v>2.88</v>
      </c>
      <c r="J16" s="24">
        <v>0.011</v>
      </c>
      <c r="K16" s="91">
        <v>0.067</v>
      </c>
      <c r="L16" s="24">
        <v>0.013</v>
      </c>
      <c r="M16" s="24">
        <v>0.22</v>
      </c>
      <c r="N16" s="24">
        <v>0.58</v>
      </c>
      <c r="O16" s="24">
        <v>0.36</v>
      </c>
      <c r="P16" s="91">
        <v>2.89</v>
      </c>
      <c r="Q16" s="91">
        <v>0.67</v>
      </c>
      <c r="R16" s="91">
        <v>3.892</v>
      </c>
      <c r="S16" s="24">
        <v>6.48</v>
      </c>
      <c r="T16" s="24">
        <v>17.9</v>
      </c>
      <c r="U16" s="24">
        <v>24.687</v>
      </c>
      <c r="V16" s="24">
        <v>0.05</v>
      </c>
      <c r="W16" s="91">
        <v>0.7</v>
      </c>
      <c r="X16" s="91">
        <f>X6</f>
        <v>0.002</v>
      </c>
      <c r="Y16" s="91">
        <v>0.002</v>
      </c>
      <c r="Z16" s="75">
        <v>1.3</v>
      </c>
      <c r="AA16" s="130"/>
      <c r="AB16" s="130"/>
      <c r="AD16" s="24"/>
      <c r="AE16" s="106">
        <f t="shared" si="0"/>
        <v>0.35714285714285715</v>
      </c>
      <c r="AF16" s="79">
        <f t="shared" si="1"/>
        <v>0.07272727272727272</v>
      </c>
      <c r="AG16" s="79">
        <f t="shared" si="2"/>
        <v>3.8888888888888897</v>
      </c>
      <c r="AH16" s="79">
        <f t="shared" si="3"/>
        <v>411.42857142857144</v>
      </c>
      <c r="AI16" s="79">
        <f t="shared" si="4"/>
        <v>0.7857142857142856</v>
      </c>
      <c r="AJ16" s="79">
        <f t="shared" si="5"/>
        <v>4.7857142857142865</v>
      </c>
      <c r="AK16" s="79">
        <f t="shared" si="6"/>
        <v>1.258064516129032</v>
      </c>
      <c r="AL16" s="79">
        <f t="shared" si="7"/>
        <v>5.641025641025641</v>
      </c>
      <c r="AM16" s="79">
        <f t="shared" si="8"/>
        <v>28.999999999999996</v>
      </c>
      <c r="AN16" s="79">
        <f t="shared" si="9"/>
        <v>30</v>
      </c>
      <c r="AO16" s="79">
        <f t="shared" si="10"/>
        <v>125.65217391304348</v>
      </c>
      <c r="AP16" s="79">
        <f t="shared" si="11"/>
        <v>41.875</v>
      </c>
      <c r="AQ16" s="79">
        <f t="shared" si="12"/>
        <v>111.19999999999999</v>
      </c>
      <c r="AR16" s="69">
        <f t="shared" si="13"/>
        <v>0.3311311214825907</v>
      </c>
      <c r="AS16" s="79">
        <f t="shared" si="14"/>
        <v>4.838709677419355</v>
      </c>
      <c r="AT16" s="79">
        <f t="shared" si="15"/>
        <v>43.75</v>
      </c>
      <c r="AU16" s="79">
        <f t="shared" si="16"/>
        <v>0.06349206349206349</v>
      </c>
      <c r="AV16" s="79">
        <f t="shared" si="17"/>
        <v>0.061538461538461535</v>
      </c>
      <c r="AW16" s="69"/>
      <c r="AX16" s="69"/>
      <c r="AY16" s="69"/>
      <c r="AZ16" s="69">
        <f t="shared" si="18"/>
        <v>5.571428571428572</v>
      </c>
      <c r="BA16" s="111">
        <f t="shared" si="32"/>
        <v>191.0789138397834</v>
      </c>
      <c r="BB16" s="111">
        <f t="shared" si="19"/>
        <v>157.86071428571427</v>
      </c>
      <c r="BC16" s="25">
        <f t="shared" si="20"/>
        <v>9.519755532645341</v>
      </c>
      <c r="BD16" s="80">
        <f>(('[1]setup'!$B$13*'[1]setup'!$B$14*'[1]setup'!$B$15)/10^(-S16))*10^6</f>
        <v>35.80913278923425</v>
      </c>
      <c r="BE16" s="74">
        <f t="shared" si="21"/>
        <v>12.413499184855253</v>
      </c>
      <c r="BF16" s="75">
        <f t="shared" si="22"/>
        <v>33.218199554069145</v>
      </c>
      <c r="BG16" s="73">
        <f t="shared" si="23"/>
        <v>191.410044961266</v>
      </c>
      <c r="BH16" s="73">
        <f t="shared" si="24"/>
        <v>206.08334625980376</v>
      </c>
      <c r="BI16" s="76">
        <f t="shared" si="25"/>
        <v>3.6914579267500462</v>
      </c>
      <c r="BJ16" s="59"/>
      <c r="BK16" s="81">
        <f>(3*('[1]setup'!$D$19*(10^-S16)^3)+2*('[1]setup'!$D$20*'[1]setup'!$D$19*((10^-S16)^2))+('[1]setup'!$D$21*'[1]setup'!$D$19*10^-S16)+('[1]setup'!$D$19*'[1]setup'!$D$22*(AP16/(10^6*2))*(10^-S16)^3))*10^6</f>
        <v>0.00037216671950449564</v>
      </c>
      <c r="BL16" s="82">
        <f t="shared" si="26"/>
        <v>-2.259429946962996</v>
      </c>
      <c r="BM16" s="75">
        <f>(BL16/((('[1]setup'!$C$26)/10^-S16)+2*(('[1]setup'!$C$26*'[1]setup'!$C$27)/(10^-S16^2))+3*(('[1]setup'!$C$26*'[1]setup'!$C$27*'[1]setup'!$C$28)/(10^-S16^3))))/(10^-S16^3/(10^-S16^3+'[1]setup'!$C$26*10^-S16^2+'[1]setup'!$C$26*'[1]setup'!$C$27*10^-S16+'[1]setup'!$C$26*'[1]setup'!$C$27*'[1]setup'!$C$28))</f>
        <v>-0.9024595426094041</v>
      </c>
      <c r="BN16" s="75"/>
      <c r="BO16" s="137">
        <f t="shared" si="27"/>
        <v>191.0789138397834</v>
      </c>
      <c r="BP16" s="137">
        <f t="shared" si="28"/>
        <v>157.86071428571427</v>
      </c>
      <c r="BQ16" s="137">
        <f t="shared" si="29"/>
        <v>1.2104272725761716</v>
      </c>
      <c r="BR16" s="137">
        <f t="shared" si="30"/>
        <v>32.43248526835487</v>
      </c>
      <c r="BS16" s="137">
        <f t="shared" si="31"/>
        <v>1.1299655927431969</v>
      </c>
      <c r="BT16" s="69"/>
      <c r="BU16" s="103" t="s">
        <v>68</v>
      </c>
      <c r="BW16" s="129"/>
      <c r="BX16" s="128"/>
      <c r="BY16" s="128"/>
      <c r="BZ16" s="128"/>
      <c r="CA16" s="128"/>
      <c r="CB16" s="128"/>
      <c r="CC16" s="102"/>
      <c r="CD16" s="129"/>
      <c r="CE16" s="128"/>
      <c r="CF16" s="129"/>
    </row>
    <row r="17" spans="1:84" ht="12.75">
      <c r="A17" s="104">
        <v>38419</v>
      </c>
      <c r="B17" s="75">
        <v>13.1</v>
      </c>
      <c r="C17" s="24" t="s">
        <v>91</v>
      </c>
      <c r="D17" s="83">
        <v>832831</v>
      </c>
      <c r="E17" s="110"/>
      <c r="F17" s="34">
        <v>0.0102</v>
      </c>
      <c r="G17" s="9">
        <f>G6</f>
        <v>0.002</v>
      </c>
      <c r="H17" s="34">
        <v>0.0308</v>
      </c>
      <c r="I17" s="32">
        <v>2.514</v>
      </c>
      <c r="J17" s="9">
        <f>J6</f>
        <v>0.01</v>
      </c>
      <c r="K17" s="29">
        <v>0.025034</v>
      </c>
      <c r="L17" s="9">
        <v>0.00509</v>
      </c>
      <c r="M17" s="32">
        <v>0.1738</v>
      </c>
      <c r="N17" s="32">
        <v>0.7229</v>
      </c>
      <c r="O17" s="32">
        <v>0.5137</v>
      </c>
      <c r="P17" s="32">
        <v>3.857</v>
      </c>
      <c r="Q17" s="29">
        <v>0.741</v>
      </c>
      <c r="R17" s="29">
        <v>6.433</v>
      </c>
      <c r="S17" s="5">
        <v>5.99</v>
      </c>
      <c r="T17" s="5">
        <v>22</v>
      </c>
      <c r="U17" s="5">
        <v>33.134</v>
      </c>
      <c r="V17" s="9">
        <f>V6</f>
        <v>0.05</v>
      </c>
      <c r="W17" s="32">
        <v>0.8164</v>
      </c>
      <c r="X17" s="34">
        <v>0.0029</v>
      </c>
      <c r="Y17" s="34">
        <v>0.0028</v>
      </c>
      <c r="Z17" s="33">
        <v>2.275</v>
      </c>
      <c r="AB17"/>
      <c r="AE17" s="106">
        <f t="shared" si="0"/>
        <v>0.36428571428571427</v>
      </c>
      <c r="AF17" s="79">
        <f t="shared" si="1"/>
        <v>0.07272727272727272</v>
      </c>
      <c r="AG17" s="79">
        <f t="shared" si="2"/>
        <v>3.4222222222222225</v>
      </c>
      <c r="AH17" s="79">
        <f t="shared" si="3"/>
        <v>359.1428571428571</v>
      </c>
      <c r="AI17" s="79">
        <f t="shared" si="4"/>
        <v>0.7142857142857143</v>
      </c>
      <c r="AJ17" s="79">
        <f t="shared" si="5"/>
        <v>1.7881428571428573</v>
      </c>
      <c r="AK17" s="79">
        <f t="shared" si="6"/>
        <v>0.49258064516129035</v>
      </c>
      <c r="AL17" s="79">
        <f t="shared" si="7"/>
        <v>4.456410256410257</v>
      </c>
      <c r="AM17" s="79">
        <f t="shared" si="8"/>
        <v>36.144999999999996</v>
      </c>
      <c r="AN17" s="79">
        <f t="shared" si="9"/>
        <v>42.80833333333334</v>
      </c>
      <c r="AO17" s="79">
        <f t="shared" si="10"/>
        <v>167.69565217391306</v>
      </c>
      <c r="AP17" s="79">
        <f t="shared" si="11"/>
        <v>46.3125</v>
      </c>
      <c r="AQ17" s="79">
        <f t="shared" si="12"/>
        <v>183.79999999999998</v>
      </c>
      <c r="AR17" s="69">
        <f t="shared" si="13"/>
        <v>1.0232929922807537</v>
      </c>
      <c r="AS17" s="79">
        <f t="shared" si="14"/>
        <v>4.838709677419355</v>
      </c>
      <c r="AT17" s="79">
        <f t="shared" si="15"/>
        <v>51.025</v>
      </c>
      <c r="AU17" s="79">
        <f t="shared" si="16"/>
        <v>0.09206349206349206</v>
      </c>
      <c r="AV17" s="79">
        <f t="shared" si="17"/>
        <v>0.08615384615384615</v>
      </c>
      <c r="AW17" s="69"/>
      <c r="AX17" s="69"/>
      <c r="AY17" s="69"/>
      <c r="AZ17" s="69">
        <f t="shared" si="18"/>
        <v>2.5024285714285717</v>
      </c>
      <c r="BA17" s="111">
        <f t="shared" si="32"/>
        <v>251.81968147794237</v>
      </c>
      <c r="BB17" s="111">
        <f t="shared" si="19"/>
        <v>231.90064285714283</v>
      </c>
      <c r="BC17" s="25">
        <f t="shared" si="20"/>
        <v>4.117883334379211</v>
      </c>
      <c r="BD17" s="80">
        <f>(('[1]setup'!$B$13*'[1]setup'!$B$14*'[1]setup'!$B$15)/10^(-S17))*10^6</f>
        <v>11.587608230746962</v>
      </c>
      <c r="BE17" s="74">
        <f t="shared" si="21"/>
        <v>20.841850586645133</v>
      </c>
      <c r="BF17" s="75">
        <f t="shared" si="22"/>
        <v>19.91903862079954</v>
      </c>
      <c r="BG17" s="73">
        <f t="shared" si="23"/>
        <v>252.8429744702231</v>
      </c>
      <c r="BH17" s="73">
        <f t="shared" si="24"/>
        <v>264.33010167453494</v>
      </c>
      <c r="BI17" s="76">
        <f t="shared" si="25"/>
        <v>2.2211379002832228</v>
      </c>
      <c r="BJ17" s="59"/>
      <c r="BK17" s="81">
        <f>(3*('[1]setup'!$D$19*(10^-S17)^3)+2*('[1]setup'!$D$20*'[1]setup'!$D$19*((10^-S17)^2))+('[1]setup'!$D$21*'[1]setup'!$D$19*10^-S17)+('[1]setup'!$D$19*'[1]setup'!$D$22*(AP17/(10^6*2))*(10^-S17)^3))*10^6</f>
        <v>0.0018967186402924967</v>
      </c>
      <c r="BL17" s="82">
        <f t="shared" si="26"/>
        <v>9.356620100973629</v>
      </c>
      <c r="BM17" s="75">
        <f>(BL17/((('[1]setup'!$C$26)/10^-S17)+2*(('[1]setup'!$C$26*'[1]setup'!$C$27)/(10^-S17^2))+3*(('[1]setup'!$C$26*'[1]setup'!$C$27*'[1]setup'!$C$28)/(10^-S17^3))))/(10^-S17^3/(10^-S17^3+'[1]setup'!$C$26*10^-S17^2+'[1]setup'!$C$26*'[1]setup'!$C$27*10^-S17+'[1]setup'!$C$26*'[1]setup'!$C$27*'[1]setup'!$C$28))</f>
        <v>4.209417208130999</v>
      </c>
      <c r="BN17" s="75"/>
      <c r="BO17" s="137">
        <f t="shared" si="27"/>
        <v>251.81968147794237</v>
      </c>
      <c r="BP17" s="137">
        <f t="shared" si="28"/>
        <v>231.90064285714283</v>
      </c>
      <c r="BQ17" s="137">
        <f t="shared" si="29"/>
        <v>1.085894710663093</v>
      </c>
      <c r="BR17" s="137">
        <f t="shared" si="30"/>
        <v>19.204752906513818</v>
      </c>
      <c r="BS17" s="137">
        <f t="shared" si="31"/>
        <v>0.9123811326110614</v>
      </c>
      <c r="BT17" s="69"/>
      <c r="BU17" s="25" t="s">
        <v>62</v>
      </c>
      <c r="BW17" s="126"/>
      <c r="BX17" s="127"/>
      <c r="BY17" s="128"/>
      <c r="BZ17" s="128"/>
      <c r="CA17" s="128"/>
      <c r="CB17" s="128"/>
      <c r="CC17" s="81"/>
      <c r="CD17" s="126"/>
      <c r="CE17" s="128"/>
      <c r="CF17" s="129"/>
    </row>
    <row r="18" spans="1:84" ht="12.75">
      <c r="A18" s="104">
        <v>38433</v>
      </c>
      <c r="B18" s="75">
        <v>13.25</v>
      </c>
      <c r="C18" s="24" t="s">
        <v>92</v>
      </c>
      <c r="D18" s="83">
        <v>832832</v>
      </c>
      <c r="E18" s="110"/>
      <c r="F18" s="9">
        <f>F6</f>
        <v>0.006</v>
      </c>
      <c r="G18" s="9">
        <f>G6</f>
        <v>0.002</v>
      </c>
      <c r="H18" s="34">
        <v>0.02002</v>
      </c>
      <c r="I18" s="32">
        <v>2.244</v>
      </c>
      <c r="J18" s="9">
        <f>J6</f>
        <v>0.01</v>
      </c>
      <c r="K18" s="29">
        <f>K6</f>
        <v>0.025</v>
      </c>
      <c r="L18" s="9">
        <v>0.00508</v>
      </c>
      <c r="M18" s="32">
        <v>0.1</v>
      </c>
      <c r="N18" s="32">
        <v>0.3596</v>
      </c>
      <c r="O18" s="32">
        <v>0.2222</v>
      </c>
      <c r="P18" s="32">
        <v>2.364</v>
      </c>
      <c r="Q18" s="29">
        <v>0.5602</v>
      </c>
      <c r="R18" s="29">
        <v>3.093</v>
      </c>
      <c r="S18" s="5">
        <v>6.16</v>
      </c>
      <c r="T18" s="5">
        <v>21.9</v>
      </c>
      <c r="U18" s="5">
        <v>19.977</v>
      </c>
      <c r="V18" s="9">
        <f>V6</f>
        <v>0.05</v>
      </c>
      <c r="W18" s="32">
        <v>0.6336</v>
      </c>
      <c r="X18" s="9">
        <f>X6</f>
        <v>0.002</v>
      </c>
      <c r="Y18" s="9">
        <f>Y6</f>
        <v>0.002</v>
      </c>
      <c r="Z18" s="33">
        <v>1.442</v>
      </c>
      <c r="AB18"/>
      <c r="AE18" s="106">
        <f t="shared" si="0"/>
        <v>0.2142857142857143</v>
      </c>
      <c r="AF18" s="79">
        <f t="shared" si="1"/>
        <v>0.07272727272727272</v>
      </c>
      <c r="AG18" s="79">
        <f t="shared" si="2"/>
        <v>2.2244444444444444</v>
      </c>
      <c r="AH18" s="79">
        <f t="shared" si="3"/>
        <v>320.5714285714286</v>
      </c>
      <c r="AI18" s="79">
        <f t="shared" si="4"/>
        <v>0.7142857142857143</v>
      </c>
      <c r="AJ18" s="79">
        <f t="shared" si="5"/>
        <v>1.7857142857142858</v>
      </c>
      <c r="AK18" s="79">
        <f t="shared" si="6"/>
        <v>0.4916129032258064</v>
      </c>
      <c r="AL18" s="79">
        <f t="shared" si="7"/>
        <v>2.5641025641025643</v>
      </c>
      <c r="AM18" s="79">
        <f t="shared" si="8"/>
        <v>17.98</v>
      </c>
      <c r="AN18" s="79">
        <f t="shared" si="9"/>
        <v>18.516666666666666</v>
      </c>
      <c r="AO18" s="79">
        <f t="shared" si="10"/>
        <v>102.78260869565217</v>
      </c>
      <c r="AP18" s="79">
        <f t="shared" si="11"/>
        <v>35.0125</v>
      </c>
      <c r="AQ18" s="79">
        <f t="shared" si="12"/>
        <v>88.37142857142857</v>
      </c>
      <c r="AR18" s="69">
        <f t="shared" si="13"/>
        <v>0.6918309709189362</v>
      </c>
      <c r="AS18" s="79">
        <f t="shared" si="14"/>
        <v>4.838709677419355</v>
      </c>
      <c r="AT18" s="79">
        <f t="shared" si="15"/>
        <v>39.6</v>
      </c>
      <c r="AU18" s="79">
        <f t="shared" si="16"/>
        <v>0.06349206349206349</v>
      </c>
      <c r="AV18" s="79">
        <f t="shared" si="17"/>
        <v>0.061538461538461535</v>
      </c>
      <c r="AW18" s="69"/>
      <c r="AX18" s="69"/>
      <c r="AY18" s="69"/>
      <c r="AZ18" s="69">
        <f t="shared" si="18"/>
        <v>2.5</v>
      </c>
      <c r="BA18" s="111">
        <f t="shared" si="32"/>
        <v>142.55766364070712</v>
      </c>
      <c r="BB18" s="111">
        <f t="shared" si="19"/>
        <v>125.16964285714286</v>
      </c>
      <c r="BC18" s="25">
        <f t="shared" si="20"/>
        <v>6.494675874126382</v>
      </c>
      <c r="BD18" s="80">
        <f>(('[1]setup'!$B$13*'[1]setup'!$B$14*'[1]setup'!$B$15)/10^(-S18))*10^6</f>
        <v>17.1393285329048</v>
      </c>
      <c r="BE18" s="74">
        <f t="shared" si="21"/>
        <v>13.437273311268255</v>
      </c>
      <c r="BF18" s="75">
        <f t="shared" si="22"/>
        <v>17.388020783564286</v>
      </c>
      <c r="BG18" s="73">
        <f t="shared" si="23"/>
        <v>143.2494946116261</v>
      </c>
      <c r="BH18" s="73">
        <f t="shared" si="24"/>
        <v>155.7462447013159</v>
      </c>
      <c r="BI18" s="76">
        <f t="shared" si="25"/>
        <v>4.179574638222577</v>
      </c>
      <c r="BJ18" s="59"/>
      <c r="BK18" s="81">
        <f>(3*('[1]setup'!$D$19*(10^-S18)^3)+2*('[1]setup'!$D$20*'[1]setup'!$D$19*((10^-S18)^2))+('[1]setup'!$D$21*'[1]setup'!$D$19*10^-S18)+('[1]setup'!$D$19*'[1]setup'!$D$22*(AP18/(10^6*2))*(10^-S18)^3))*10^6</f>
        <v>0.001015491916942589</v>
      </c>
      <c r="BL18" s="82">
        <f t="shared" si="26"/>
        <v>0.9415387134953903</v>
      </c>
      <c r="BM18" s="75">
        <f>(BL18/((('[1]setup'!$C$26)/10^-S18)+2*(('[1]setup'!$C$26*'[1]setup'!$C$27)/(10^-S18^2))+3*(('[1]setup'!$C$26*'[1]setup'!$C$27*'[1]setup'!$C$28)/(10^-S18^3))))/(10^-S18^3/(10^-S18^3+'[1]setup'!$C$26*10^-S18^2+'[1]setup'!$C$26*'[1]setup'!$C$27*10^-S18+'[1]setup'!$C$26*'[1]setup'!$C$27*'[1]setup'!$C$28))</f>
        <v>0.4068465959624084</v>
      </c>
      <c r="BN18" s="75"/>
      <c r="BO18" s="137">
        <f t="shared" si="27"/>
        <v>142.55766364070712</v>
      </c>
      <c r="BP18" s="137">
        <f t="shared" si="28"/>
        <v>125.16964285714286</v>
      </c>
      <c r="BQ18" s="137">
        <f t="shared" si="29"/>
        <v>1.138915637902789</v>
      </c>
      <c r="BR18" s="137">
        <f t="shared" si="30"/>
        <v>16.673735069278536</v>
      </c>
      <c r="BS18" s="137">
        <f t="shared" si="31"/>
        <v>1.1630751064816767</v>
      </c>
      <c r="BT18" s="69"/>
      <c r="BU18" s="25" t="s">
        <v>63</v>
      </c>
      <c r="BW18" s="126"/>
      <c r="BX18" s="127"/>
      <c r="BY18" s="128"/>
      <c r="BZ18" s="128"/>
      <c r="CA18" s="128"/>
      <c r="CB18" s="128"/>
      <c r="CC18" s="81"/>
      <c r="CD18" s="126"/>
      <c r="CE18" s="128"/>
      <c r="CF18" s="129"/>
    </row>
    <row r="19" spans="1:84" s="25" customFormat="1" ht="12.75">
      <c r="A19" s="104">
        <v>38447</v>
      </c>
      <c r="B19" s="75">
        <v>16</v>
      </c>
      <c r="C19" s="24" t="s">
        <v>93</v>
      </c>
      <c r="D19" s="83">
        <v>832833</v>
      </c>
      <c r="E19" s="110"/>
      <c r="F19" s="34">
        <v>0.0291</v>
      </c>
      <c r="G19" s="9">
        <f>G6</f>
        <v>0.002</v>
      </c>
      <c r="H19" s="34">
        <v>0.0781</v>
      </c>
      <c r="I19" s="32">
        <v>1.294</v>
      </c>
      <c r="J19" s="9">
        <v>0.01003</v>
      </c>
      <c r="K19" s="29">
        <v>0.05188</v>
      </c>
      <c r="L19" s="9">
        <v>0.00505</v>
      </c>
      <c r="M19" s="9">
        <f>M6</f>
        <v>0.1</v>
      </c>
      <c r="N19" s="32">
        <v>0.6182</v>
      </c>
      <c r="O19" s="32">
        <v>0.3606</v>
      </c>
      <c r="P19" s="32">
        <v>2.688</v>
      </c>
      <c r="Q19" s="29">
        <v>0.4487</v>
      </c>
      <c r="R19" s="29">
        <v>4.41</v>
      </c>
      <c r="S19" s="24">
        <v>5.25</v>
      </c>
      <c r="T19" s="86">
        <v>21.8</v>
      </c>
      <c r="U19" s="76">
        <v>24.802</v>
      </c>
      <c r="V19" s="9">
        <f>V6</f>
        <v>0.05</v>
      </c>
      <c r="W19" s="32">
        <v>0.4184</v>
      </c>
      <c r="X19" s="9">
        <f>X6</f>
        <v>0.002</v>
      </c>
      <c r="Y19" s="34">
        <v>0.0037</v>
      </c>
      <c r="Z19" s="33">
        <v>7.714</v>
      </c>
      <c r="AE19" s="106">
        <f t="shared" si="0"/>
        <v>1.0392857142857144</v>
      </c>
      <c r="AF19" s="79">
        <f t="shared" si="1"/>
        <v>0.07272727272727272</v>
      </c>
      <c r="AG19" s="79">
        <f t="shared" si="2"/>
        <v>8.677777777777779</v>
      </c>
      <c r="AH19" s="79">
        <f t="shared" si="3"/>
        <v>184.85714285714286</v>
      </c>
      <c r="AI19" s="79">
        <f t="shared" si="4"/>
        <v>0.7164285714285715</v>
      </c>
      <c r="AJ19" s="79">
        <f t="shared" si="5"/>
        <v>3.7057142857142855</v>
      </c>
      <c r="AK19" s="79">
        <f t="shared" si="6"/>
        <v>0.4887096774193548</v>
      </c>
      <c r="AL19" s="79">
        <f t="shared" si="7"/>
        <v>2.5641025641025643</v>
      </c>
      <c r="AM19" s="79">
        <f t="shared" si="8"/>
        <v>30.91</v>
      </c>
      <c r="AN19" s="79">
        <f t="shared" si="9"/>
        <v>30.049999999999997</v>
      </c>
      <c r="AO19" s="79">
        <f t="shared" si="10"/>
        <v>116.86956521739131</v>
      </c>
      <c r="AP19" s="79">
        <f t="shared" si="11"/>
        <v>28.04375</v>
      </c>
      <c r="AQ19" s="79">
        <f t="shared" si="12"/>
        <v>126</v>
      </c>
      <c r="AR19" s="69">
        <f t="shared" si="13"/>
        <v>5.623413251903492</v>
      </c>
      <c r="AS19" s="79">
        <f t="shared" si="14"/>
        <v>4.838709677419355</v>
      </c>
      <c r="AT19" s="79">
        <f t="shared" si="15"/>
        <v>26.15</v>
      </c>
      <c r="AU19" s="79">
        <f t="shared" si="16"/>
        <v>0.06349206349206349</v>
      </c>
      <c r="AV19" s="79">
        <f t="shared" si="17"/>
        <v>0.11384615384615386</v>
      </c>
      <c r="AW19" s="69"/>
      <c r="AX19" s="69"/>
      <c r="AY19" s="69"/>
      <c r="AZ19" s="69">
        <f t="shared" si="18"/>
        <v>4.422142857142857</v>
      </c>
      <c r="BA19" s="111">
        <f t="shared" si="32"/>
        <v>181.11009635292245</v>
      </c>
      <c r="BB19" s="111">
        <f t="shared" si="19"/>
        <v>157.74946428571428</v>
      </c>
      <c r="BC19" s="25">
        <f t="shared" si="20"/>
        <v>6.893897880048362</v>
      </c>
      <c r="BD19" s="80">
        <f>(('[1]setup'!$B$13*'[1]setup'!$B$14*'[1]setup'!$B$15)/10^(-S19))*10^6</f>
        <v>2.108598064672636</v>
      </c>
      <c r="BE19" s="74">
        <f t="shared" si="21"/>
        <v>62.760362353524954</v>
      </c>
      <c r="BF19" s="75">
        <f t="shared" si="22"/>
        <v>23.360632067208144</v>
      </c>
      <c r="BG19" s="73">
        <f t="shared" si="23"/>
        <v>186.7335096048259</v>
      </c>
      <c r="BH19" s="73">
        <f t="shared" si="24"/>
        <v>222.61842470391187</v>
      </c>
      <c r="BI19" s="76">
        <f t="shared" si="25"/>
        <v>8.766274711681502</v>
      </c>
      <c r="BJ19" s="59"/>
      <c r="BK19" s="81">
        <f>(3*('[1]setup'!$D$19*(10^-S19)^3)+2*('[1]setup'!$D$20*'[1]setup'!$D$19*((10^-S19)^2))+('[1]setup'!$D$21*'[1]setup'!$D$19*10^-S19)+('[1]setup'!$D$19*'[1]setup'!$D$22*(AP19/(10^6*2))*(10^-S19)^3))*10^6</f>
        <v>0.07888997258942827</v>
      </c>
      <c r="BL19" s="82">
        <f t="shared" si="26"/>
        <v>26.954337227028418</v>
      </c>
      <c r="BM19" s="75">
        <f>(BL19/((('[1]setup'!$C$26)/10^-S19)+2*(('[1]setup'!$C$26*'[1]setup'!$C$27)/(10^-S19^2))+3*(('[1]setup'!$C$26*'[1]setup'!$C$27*'[1]setup'!$C$28)/(10^-S19^3))))/(10^-S19^3/(10^-S19^3+'[1]setup'!$C$26*10^-S19^2+'[1]setup'!$C$26*'[1]setup'!$C$27*10^-S19+'[1]setup'!$C$26*'[1]setup'!$C$27*'[1]setup'!$C$28))</f>
        <v>14.174982382009016</v>
      </c>
      <c r="BN19" s="75"/>
      <c r="BO19" s="137">
        <f t="shared" si="27"/>
        <v>181.11009635292245</v>
      </c>
      <c r="BP19" s="137">
        <f t="shared" si="28"/>
        <v>157.74946428571428</v>
      </c>
      <c r="BQ19" s="137">
        <f t="shared" si="29"/>
        <v>1.1480869185387383</v>
      </c>
      <c r="BR19" s="137">
        <f t="shared" si="30"/>
        <v>22.644203495779607</v>
      </c>
      <c r="BS19" s="137">
        <f t="shared" si="31"/>
        <v>0.927536231884058</v>
      </c>
      <c r="BT19" s="69"/>
      <c r="BU19" s="25" t="s">
        <v>64</v>
      </c>
      <c r="BW19" s="126"/>
      <c r="BX19" s="127"/>
      <c r="BY19" s="128"/>
      <c r="BZ19" s="128"/>
      <c r="CA19" s="128"/>
      <c r="CB19" s="128"/>
      <c r="CC19" s="81"/>
      <c r="CD19" s="126"/>
      <c r="CE19" s="128"/>
      <c r="CF19" s="129"/>
    </row>
    <row r="20" spans="1:84" s="25" customFormat="1" ht="12.75">
      <c r="A20" s="104">
        <v>38461</v>
      </c>
      <c r="B20" s="75">
        <v>11.5</v>
      </c>
      <c r="C20" s="24" t="s">
        <v>94</v>
      </c>
      <c r="D20" s="83">
        <v>832834</v>
      </c>
      <c r="E20" s="110"/>
      <c r="F20" s="34">
        <v>0.0107</v>
      </c>
      <c r="G20" s="9">
        <f>G6</f>
        <v>0.002</v>
      </c>
      <c r="H20" s="34">
        <v>0.0523</v>
      </c>
      <c r="I20" s="32">
        <v>2.26</v>
      </c>
      <c r="J20" s="9">
        <f>J6</f>
        <v>0.01</v>
      </c>
      <c r="K20" s="29">
        <v>0.025085</v>
      </c>
      <c r="L20" s="9">
        <v>0.00507</v>
      </c>
      <c r="M20" s="9">
        <f>M6</f>
        <v>0.1</v>
      </c>
      <c r="N20" s="32">
        <v>0.5337</v>
      </c>
      <c r="O20" s="32">
        <v>0.3101</v>
      </c>
      <c r="P20" s="32">
        <v>2.813</v>
      </c>
      <c r="Q20" s="29">
        <v>0.5743</v>
      </c>
      <c r="R20" s="29">
        <v>3.704</v>
      </c>
      <c r="S20" s="24">
        <v>6.2</v>
      </c>
      <c r="T20" s="86">
        <v>21.9</v>
      </c>
      <c r="U20" s="76">
        <v>22.884</v>
      </c>
      <c r="V20" s="9">
        <f>V6</f>
        <v>0.05</v>
      </c>
      <c r="W20" s="32">
        <v>0.6377</v>
      </c>
      <c r="X20" s="9">
        <f>X6</f>
        <v>0.002</v>
      </c>
      <c r="Y20" s="9">
        <f>Y6</f>
        <v>0.002</v>
      </c>
      <c r="Z20" s="33">
        <v>2.902</v>
      </c>
      <c r="AE20" s="106">
        <f t="shared" si="0"/>
        <v>0.3821428571428571</v>
      </c>
      <c r="AF20" s="79">
        <f t="shared" si="1"/>
        <v>0.07272727272727272</v>
      </c>
      <c r="AG20" s="79">
        <f t="shared" si="2"/>
        <v>5.811111111111111</v>
      </c>
      <c r="AH20" s="79">
        <f t="shared" si="3"/>
        <v>322.85714285714283</v>
      </c>
      <c r="AI20" s="79">
        <f t="shared" si="4"/>
        <v>0.7142857142857143</v>
      </c>
      <c r="AJ20" s="79">
        <f t="shared" si="5"/>
        <v>1.7917857142857143</v>
      </c>
      <c r="AK20" s="79">
        <f t="shared" si="6"/>
        <v>0.49064516129032254</v>
      </c>
      <c r="AL20" s="79">
        <f t="shared" si="7"/>
        <v>2.5641025641025643</v>
      </c>
      <c r="AM20" s="79">
        <f t="shared" si="8"/>
        <v>26.684999999999995</v>
      </c>
      <c r="AN20" s="79">
        <f t="shared" si="9"/>
        <v>25.841666666666665</v>
      </c>
      <c r="AO20" s="79">
        <f t="shared" si="10"/>
        <v>122.30434782608697</v>
      </c>
      <c r="AP20" s="79">
        <f t="shared" si="11"/>
        <v>35.893750000000004</v>
      </c>
      <c r="AQ20" s="79">
        <f t="shared" si="12"/>
        <v>105.82857142857144</v>
      </c>
      <c r="AR20" s="69">
        <f t="shared" si="13"/>
        <v>0.6309573444801929</v>
      </c>
      <c r="AS20" s="79">
        <f t="shared" si="14"/>
        <v>4.838709677419355</v>
      </c>
      <c r="AT20" s="79">
        <f t="shared" si="15"/>
        <v>39.85625</v>
      </c>
      <c r="AU20" s="79">
        <f t="shared" si="16"/>
        <v>0.06349206349206349</v>
      </c>
      <c r="AV20" s="79">
        <f t="shared" si="17"/>
        <v>0.061538461538461535</v>
      </c>
      <c r="AW20" s="69"/>
      <c r="AX20" s="69"/>
      <c r="AY20" s="69"/>
      <c r="AZ20" s="69">
        <f t="shared" si="18"/>
        <v>2.5060714285714285</v>
      </c>
      <c r="BA20" s="111">
        <f t="shared" si="32"/>
        <v>178.1094027711419</v>
      </c>
      <c r="BB20" s="111">
        <f t="shared" si="19"/>
        <v>143.51410714285714</v>
      </c>
      <c r="BC20" s="25">
        <f t="shared" si="20"/>
        <v>10.75645733657201</v>
      </c>
      <c r="BD20" s="80">
        <f>(('[1]setup'!$B$13*'[1]setup'!$B$14*'[1]setup'!$B$15)/10^(-S20))*10^6</f>
        <v>18.792900032864864</v>
      </c>
      <c r="BE20" s="74">
        <f t="shared" si="21"/>
        <v>27.138817538326677</v>
      </c>
      <c r="BF20" s="75">
        <f t="shared" si="22"/>
        <v>34.59529562828479</v>
      </c>
      <c r="BG20" s="73">
        <f t="shared" si="23"/>
        <v>178.7403601156221</v>
      </c>
      <c r="BH20" s="73">
        <f t="shared" si="24"/>
        <v>189.44582471404868</v>
      </c>
      <c r="BI20" s="76">
        <f t="shared" si="25"/>
        <v>2.9076225669301263</v>
      </c>
      <c r="BJ20" s="59"/>
      <c r="BK20" s="81">
        <f>(3*('[1]setup'!$D$19*(10^-S20)^3)+2*('[1]setup'!$D$20*'[1]setup'!$D$19*((10^-S20)^2))+('[1]setup'!$D$21*'[1]setup'!$D$19*10^-S20)+('[1]setup'!$D$19*'[1]setup'!$D$22*(AP20/(10^6*2))*(10^-S20)^3))*10^6</f>
        <v>0.0008860534945680197</v>
      </c>
      <c r="BL20" s="82">
        <f t="shared" si="26"/>
        <v>16.434238993394672</v>
      </c>
      <c r="BM20" s="75">
        <f>(BL20/((('[1]setup'!$C$26)/10^-S20)+2*(('[1]setup'!$C$26*'[1]setup'!$C$27)/(10^-S20^2))+3*(('[1]setup'!$C$26*'[1]setup'!$C$27*'[1]setup'!$C$28)/(10^-S20^3))))/(10^-S20^3/(10^-S20^3+'[1]setup'!$C$26*10^-S20^2+'[1]setup'!$C$26*'[1]setup'!$C$27*10^-S20+'[1]setup'!$C$26*'[1]setup'!$C$27*'[1]setup'!$C$28))</f>
        <v>7.032166800329736</v>
      </c>
      <c r="BN20" s="75"/>
      <c r="BO20" s="137">
        <f t="shared" si="27"/>
        <v>178.1094027711419</v>
      </c>
      <c r="BP20" s="137">
        <f t="shared" si="28"/>
        <v>143.51410714285714</v>
      </c>
      <c r="BQ20" s="137">
        <f t="shared" si="29"/>
        <v>1.2410585016136972</v>
      </c>
      <c r="BR20" s="137">
        <f t="shared" si="30"/>
        <v>33.88100991399904</v>
      </c>
      <c r="BS20" s="137">
        <f t="shared" si="31"/>
        <v>1.1556836322659405</v>
      </c>
      <c r="BT20" s="69"/>
      <c r="BU20" s="25" t="s">
        <v>65</v>
      </c>
      <c r="BW20" s="126"/>
      <c r="BX20" s="127"/>
      <c r="BY20" s="128"/>
      <c r="BZ20" s="128"/>
      <c r="CA20" s="128"/>
      <c r="CB20" s="128"/>
      <c r="CC20" s="81"/>
      <c r="CD20" s="126"/>
      <c r="CE20" s="128"/>
      <c r="CF20" s="129"/>
    </row>
    <row r="21" spans="1:84" s="25" customFormat="1" ht="12.75">
      <c r="A21" s="104">
        <v>38475</v>
      </c>
      <c r="B21" s="75">
        <v>13</v>
      </c>
      <c r="C21" s="24" t="s">
        <v>95</v>
      </c>
      <c r="D21" s="83">
        <v>832835</v>
      </c>
      <c r="E21" s="22"/>
      <c r="F21" s="34">
        <v>0.0149</v>
      </c>
      <c r="G21" s="9">
        <f>G6</f>
        <v>0.002</v>
      </c>
      <c r="H21" s="34">
        <v>0.0562</v>
      </c>
      <c r="I21" s="32">
        <v>2.416</v>
      </c>
      <c r="J21" s="9">
        <f>J6</f>
        <v>0.01</v>
      </c>
      <c r="K21" s="29">
        <v>0.025071</v>
      </c>
      <c r="L21" s="9">
        <v>0.0056</v>
      </c>
      <c r="M21" s="9">
        <f>M6</f>
        <v>0.1</v>
      </c>
      <c r="N21" s="32">
        <v>0.5728</v>
      </c>
      <c r="O21" s="32">
        <v>0.2991</v>
      </c>
      <c r="P21" s="32">
        <v>2.726</v>
      </c>
      <c r="Q21" s="29">
        <v>0.5589</v>
      </c>
      <c r="R21" s="29">
        <v>3.329</v>
      </c>
      <c r="S21" s="24">
        <v>6.24</v>
      </c>
      <c r="T21" s="86">
        <v>21.8</v>
      </c>
      <c r="U21" s="76">
        <v>22.625</v>
      </c>
      <c r="V21" s="9">
        <f>V6</f>
        <v>0.05</v>
      </c>
      <c r="W21" s="32">
        <v>0.6038</v>
      </c>
      <c r="X21" s="9">
        <f>X6</f>
        <v>0.002</v>
      </c>
      <c r="Y21" s="9">
        <f>Y6</f>
        <v>0.002</v>
      </c>
      <c r="Z21" s="33">
        <v>3.367</v>
      </c>
      <c r="AE21" s="106">
        <f t="shared" si="0"/>
        <v>0.5321428571428571</v>
      </c>
      <c r="AF21" s="79">
        <f t="shared" si="1"/>
        <v>0.07272727272727272</v>
      </c>
      <c r="AG21" s="79">
        <f t="shared" si="2"/>
        <v>6.2444444444444445</v>
      </c>
      <c r="AH21" s="79">
        <f t="shared" si="3"/>
        <v>345.14285714285717</v>
      </c>
      <c r="AI21" s="79">
        <f t="shared" si="4"/>
        <v>0.7142857142857143</v>
      </c>
      <c r="AJ21" s="79">
        <f t="shared" si="5"/>
        <v>1.7907857142857142</v>
      </c>
      <c r="AK21" s="79">
        <f t="shared" si="6"/>
        <v>0.5419354838709677</v>
      </c>
      <c r="AL21" s="79">
        <f t="shared" si="7"/>
        <v>2.5641025641025643</v>
      </c>
      <c r="AM21" s="79">
        <f t="shared" si="8"/>
        <v>28.64</v>
      </c>
      <c r="AN21" s="79">
        <f t="shared" si="9"/>
        <v>24.925</v>
      </c>
      <c r="AO21" s="79">
        <f t="shared" si="10"/>
        <v>118.52173913043478</v>
      </c>
      <c r="AP21" s="79">
        <f t="shared" si="11"/>
        <v>34.93125</v>
      </c>
      <c r="AQ21" s="79">
        <f t="shared" si="12"/>
        <v>95.11428571428571</v>
      </c>
      <c r="AR21" s="69">
        <f t="shared" si="13"/>
        <v>0.5754399373371566</v>
      </c>
      <c r="AS21" s="79">
        <f t="shared" si="14"/>
        <v>4.838709677419355</v>
      </c>
      <c r="AT21" s="79">
        <f t="shared" si="15"/>
        <v>37.7375</v>
      </c>
      <c r="AU21" s="79">
        <f t="shared" si="16"/>
        <v>0.06349206349206349</v>
      </c>
      <c r="AV21" s="79">
        <f t="shared" si="17"/>
        <v>0.061538461538461535</v>
      </c>
      <c r="AW21" s="69"/>
      <c r="AX21" s="69"/>
      <c r="AY21" s="69"/>
      <c r="AZ21" s="69">
        <f t="shared" si="18"/>
        <v>2.5050714285714286</v>
      </c>
      <c r="BA21" s="111">
        <f t="shared" si="32"/>
        <v>175.36512740882307</v>
      </c>
      <c r="BB21" s="111">
        <f t="shared" si="19"/>
        <v>131.8363214285714</v>
      </c>
      <c r="BC21" s="25">
        <f t="shared" si="20"/>
        <v>14.169466369701919</v>
      </c>
      <c r="BD21" s="80">
        <f>(('[1]setup'!$B$13*'[1]setup'!$B$14*'[1]setup'!$B$15)/10^(-S21))*10^6</f>
        <v>20.6060051283349</v>
      </c>
      <c r="BE21" s="74">
        <f t="shared" si="21"/>
        <v>31.59484819239167</v>
      </c>
      <c r="BF21" s="75">
        <f t="shared" si="22"/>
        <v>43.52880598025166</v>
      </c>
      <c r="BG21" s="73">
        <f t="shared" si="23"/>
        <v>175.94056734616024</v>
      </c>
      <c r="BH21" s="73">
        <f t="shared" si="24"/>
        <v>184.037174749298</v>
      </c>
      <c r="BI21" s="76">
        <f t="shared" si="25"/>
        <v>2.2491966742184646</v>
      </c>
      <c r="BJ21" s="59"/>
      <c r="BK21" s="81">
        <f>(3*('[1]setup'!$D$19*(10^-S21)^3)+2*('[1]setup'!$D$20*'[1]setup'!$D$19*((10^-S21)^2))+('[1]setup'!$D$21*'[1]setup'!$D$19*10^-S21)+('[1]setup'!$D$19*'[1]setup'!$D$22*(AP21/(10^6*2))*(10^-S21)^3))*10^6</f>
        <v>0.0007758524249425287</v>
      </c>
      <c r="BL21" s="82">
        <f t="shared" si="26"/>
        <v>23.49901664167885</v>
      </c>
      <c r="BM21" s="75">
        <f>(BL21/((('[1]setup'!$C$26)/10^-S21)+2*(('[1]setup'!$C$26*'[1]setup'!$C$27)/(10^-S21^2))+3*(('[1]setup'!$C$26*'[1]setup'!$C$27*'[1]setup'!$C$28)/(10^-S21^3))))/(10^-S21^3/(10^-S21^3+'[1]setup'!$C$26*10^-S21^2+'[1]setup'!$C$26*'[1]setup'!$C$27*10^-S21+'[1]setup'!$C$26*'[1]setup'!$C$27*'[1]setup'!$C$28))</f>
        <v>9.956466122865383</v>
      </c>
      <c r="BN21" s="75"/>
      <c r="BO21" s="137">
        <f t="shared" si="27"/>
        <v>175.36512740882307</v>
      </c>
      <c r="BP21" s="137">
        <f t="shared" si="28"/>
        <v>131.8363214285714</v>
      </c>
      <c r="BQ21" s="137">
        <f t="shared" si="29"/>
        <v>1.3301730927302569</v>
      </c>
      <c r="BR21" s="137">
        <f t="shared" si="30"/>
        <v>42.81452026596594</v>
      </c>
      <c r="BS21" s="137">
        <f t="shared" si="31"/>
        <v>1.2460981885146343</v>
      </c>
      <c r="BT21" s="69"/>
      <c r="BU21" s="25" t="s">
        <v>73</v>
      </c>
      <c r="BW21" s="126"/>
      <c r="BX21" s="127"/>
      <c r="BY21" s="128"/>
      <c r="BZ21" s="128"/>
      <c r="CA21" s="128"/>
      <c r="CB21" s="128"/>
      <c r="CC21" s="81"/>
      <c r="CD21" s="126"/>
      <c r="CE21" s="128"/>
      <c r="CF21" s="129"/>
    </row>
    <row r="22" spans="1:84" s="25" customFormat="1" ht="12.75">
      <c r="A22" s="104">
        <v>38489</v>
      </c>
      <c r="B22" s="75">
        <v>11.45</v>
      </c>
      <c r="C22" s="24" t="s">
        <v>96</v>
      </c>
      <c r="D22" s="83">
        <v>832836</v>
      </c>
      <c r="E22" s="110"/>
      <c r="F22" s="34">
        <v>0.0099</v>
      </c>
      <c r="G22" s="9">
        <f>G6</f>
        <v>0.002</v>
      </c>
      <c r="H22" s="34">
        <v>0.0215</v>
      </c>
      <c r="I22" s="32">
        <v>2.804</v>
      </c>
      <c r="J22" s="9">
        <f>J6</f>
        <v>0.01</v>
      </c>
      <c r="K22" s="29">
        <v>0.0250952</v>
      </c>
      <c r="L22" s="9">
        <v>0.00509</v>
      </c>
      <c r="M22" s="9">
        <f>M6</f>
        <v>0.1</v>
      </c>
      <c r="N22" s="32">
        <v>0.5916</v>
      </c>
      <c r="O22" s="32">
        <v>0.3073</v>
      </c>
      <c r="P22" s="32">
        <v>2.773</v>
      </c>
      <c r="Q22" s="29">
        <v>0.6322</v>
      </c>
      <c r="R22" s="29">
        <v>2.952</v>
      </c>
      <c r="S22" s="24">
        <v>5.43</v>
      </c>
      <c r="T22" s="86">
        <v>21.6</v>
      </c>
      <c r="U22" s="131"/>
      <c r="V22" s="9">
        <f>V6</f>
        <v>0.05</v>
      </c>
      <c r="W22" s="32">
        <v>0.6824</v>
      </c>
      <c r="X22" s="9">
        <f>X6</f>
        <v>0.002</v>
      </c>
      <c r="Y22" s="34">
        <v>0.0021</v>
      </c>
      <c r="Z22" s="33">
        <v>1.753</v>
      </c>
      <c r="AE22" s="106">
        <f t="shared" si="0"/>
        <v>0.35357142857142865</v>
      </c>
      <c r="AF22" s="79">
        <f t="shared" si="1"/>
        <v>0.07272727272727272</v>
      </c>
      <c r="AG22" s="79">
        <f t="shared" si="2"/>
        <v>2.388888888888889</v>
      </c>
      <c r="AH22" s="79">
        <f t="shared" si="3"/>
        <v>400.5714285714285</v>
      </c>
      <c r="AI22" s="79">
        <f t="shared" si="4"/>
        <v>0.7142857142857143</v>
      </c>
      <c r="AJ22" s="79">
        <f t="shared" si="5"/>
        <v>1.7925142857142857</v>
      </c>
      <c r="AK22" s="79">
        <f t="shared" si="6"/>
        <v>0.49258064516129035</v>
      </c>
      <c r="AL22" s="79">
        <f t="shared" si="7"/>
        <v>2.5641025641025643</v>
      </c>
      <c r="AM22" s="79">
        <f t="shared" si="8"/>
        <v>29.580000000000002</v>
      </c>
      <c r="AN22" s="79">
        <f t="shared" si="9"/>
        <v>25.608333333333334</v>
      </c>
      <c r="AO22" s="79">
        <f t="shared" si="10"/>
        <v>120.56521739130436</v>
      </c>
      <c r="AP22" s="79">
        <f t="shared" si="11"/>
        <v>39.512499999999996</v>
      </c>
      <c r="AQ22" s="79">
        <f t="shared" si="12"/>
        <v>84.34285714285714</v>
      </c>
      <c r="AR22" s="69">
        <f t="shared" si="13"/>
        <v>3.7153522909717283</v>
      </c>
      <c r="AS22" s="79">
        <f t="shared" si="14"/>
        <v>4.838709677419355</v>
      </c>
      <c r="AT22" s="79">
        <f t="shared" si="15"/>
        <v>42.65</v>
      </c>
      <c r="AU22" s="79">
        <f t="shared" si="16"/>
        <v>0.06349206349206349</v>
      </c>
      <c r="AV22" s="79">
        <f t="shared" si="17"/>
        <v>0.06461538461538462</v>
      </c>
      <c r="AW22" s="69"/>
      <c r="AX22" s="69"/>
      <c r="AY22" s="69"/>
      <c r="AZ22" s="69">
        <f t="shared" si="18"/>
        <v>2.5068</v>
      </c>
      <c r="BA22" s="111">
        <f t="shared" si="32"/>
        <v>179.03193900302597</v>
      </c>
      <c r="BB22" s="111">
        <f t="shared" si="19"/>
        <v>125.64787142857142</v>
      </c>
      <c r="BC22" s="25">
        <f t="shared" si="20"/>
        <v>17.521366938896538</v>
      </c>
      <c r="BD22" s="80">
        <f>(('[1]setup'!$B$13*'[1]setup'!$B$14*'[1]setup'!$B$15)/10^(-S22))*10^6</f>
        <v>3.191492319216081</v>
      </c>
      <c r="BE22" s="74">
        <f t="shared" si="21"/>
        <v>14.793689381783679</v>
      </c>
      <c r="BF22" s="75">
        <f t="shared" si="22"/>
        <v>53.38406757445456</v>
      </c>
      <c r="BG22" s="73">
        <f t="shared" si="23"/>
        <v>182.74729129399773</v>
      </c>
      <c r="BH22" s="73">
        <f t="shared" si="24"/>
        <v>143.63305312957118</v>
      </c>
      <c r="BI22" s="76">
        <f t="shared" si="25"/>
        <v>11.984250532460067</v>
      </c>
      <c r="BJ22" s="59"/>
      <c r="BK22" s="81">
        <f>(3*('[1]setup'!$D$19*(10^-S22)^3)+2*('[1]setup'!$D$20*'[1]setup'!$D$19*((10^-S22)^2))+('[1]setup'!$D$21*'[1]setup'!$D$19*10^-S22)+('[1]setup'!$D$19*'[1]setup'!$D$22*(AP22/(10^6*2))*(10^-S22)^3))*10^6</f>
        <v>0.02763475067943132</v>
      </c>
      <c r="BL22" s="82">
        <f t="shared" si="26"/>
        <v>53.93556229688966</v>
      </c>
      <c r="BM22" s="75">
        <f>(BL22/((('[1]setup'!$C$26)/10^-S22)+2*(('[1]setup'!$C$26*'[1]setup'!$C$27)/(10^-S22^2))+3*(('[1]setup'!$C$26*'[1]setup'!$C$27*'[1]setup'!$C$28)/(10^-S22^3))))/(10^-S22^3/(10^-S22^3+'[1]setup'!$C$26*10^-S22^2+'[1]setup'!$C$26*'[1]setup'!$C$27*10^-S22+'[1]setup'!$C$26*'[1]setup'!$C$27*'[1]setup'!$C$28))</f>
        <v>27.281036827652702</v>
      </c>
      <c r="BN22" s="75"/>
      <c r="BO22" s="137">
        <f t="shared" si="27"/>
        <v>179.03193900302597</v>
      </c>
      <c r="BP22" s="137">
        <f t="shared" si="28"/>
        <v>125.64787142857142</v>
      </c>
      <c r="BQ22" s="137">
        <f t="shared" si="29"/>
        <v>1.424870449196606</v>
      </c>
      <c r="BR22" s="137">
        <f t="shared" si="30"/>
        <v>52.669781860168825</v>
      </c>
      <c r="BS22" s="137">
        <f t="shared" si="31"/>
        <v>1.429465653352186</v>
      </c>
      <c r="BT22" s="69"/>
      <c r="BU22" s="25" t="s">
        <v>74</v>
      </c>
      <c r="BW22" s="126"/>
      <c r="BX22" s="127"/>
      <c r="BY22" s="128"/>
      <c r="BZ22" s="128"/>
      <c r="CA22" s="128"/>
      <c r="CB22" s="128"/>
      <c r="CC22" s="81"/>
      <c r="CD22" s="126"/>
      <c r="CE22" s="128"/>
      <c r="CF22" s="129"/>
    </row>
    <row r="23" spans="1:73" ht="12.75">
      <c r="A23" s="104">
        <v>38503</v>
      </c>
      <c r="B23" s="75">
        <v>10.4</v>
      </c>
      <c r="C23" s="24" t="s">
        <v>97</v>
      </c>
      <c r="D23" s="83">
        <v>832837</v>
      </c>
      <c r="E23" s="110"/>
      <c r="F23" s="34">
        <v>0.0236</v>
      </c>
      <c r="G23" s="9">
        <f>G6</f>
        <v>0.002</v>
      </c>
      <c r="H23" s="34">
        <v>0.0823</v>
      </c>
      <c r="I23" s="32">
        <v>2.14</v>
      </c>
      <c r="J23" s="9">
        <v>0.01007</v>
      </c>
      <c r="K23" s="29">
        <v>0.025071</v>
      </c>
      <c r="L23" s="9">
        <v>0.00504</v>
      </c>
      <c r="M23" s="9">
        <f>M6</f>
        <v>0.1</v>
      </c>
      <c r="N23" s="32">
        <v>0.5236</v>
      </c>
      <c r="O23" s="32">
        <v>0.3006</v>
      </c>
      <c r="P23" s="32">
        <v>2.534</v>
      </c>
      <c r="Q23" s="29">
        <v>0.4513</v>
      </c>
      <c r="R23" s="29">
        <v>3.176</v>
      </c>
      <c r="S23" s="24">
        <v>6.27</v>
      </c>
      <c r="T23" s="24">
        <v>18.8</v>
      </c>
      <c r="U23" s="24">
        <v>23.393</v>
      </c>
      <c r="V23" s="9">
        <f>V6</f>
        <v>0.05</v>
      </c>
      <c r="W23" s="32">
        <v>0.5145</v>
      </c>
      <c r="X23" s="9">
        <f>X6</f>
        <v>0.002</v>
      </c>
      <c r="Y23" s="34">
        <v>0.0023</v>
      </c>
      <c r="Z23" s="33">
        <v>4.913</v>
      </c>
      <c r="AB23"/>
      <c r="AD23" s="25"/>
      <c r="AE23" s="106">
        <f t="shared" si="0"/>
        <v>0.8428571428571429</v>
      </c>
      <c r="AF23" s="79">
        <f t="shared" si="1"/>
        <v>0.07272727272727272</v>
      </c>
      <c r="AG23" s="79">
        <f t="shared" si="2"/>
        <v>9.144444444444444</v>
      </c>
      <c r="AH23" s="79">
        <f t="shared" si="3"/>
        <v>305.7142857142857</v>
      </c>
      <c r="AI23" s="79">
        <f t="shared" si="4"/>
        <v>0.7192857142857143</v>
      </c>
      <c r="AJ23" s="79">
        <f t="shared" si="5"/>
        <v>1.7907857142857142</v>
      </c>
      <c r="AK23" s="79">
        <f t="shared" si="6"/>
        <v>0.487741935483871</v>
      </c>
      <c r="AL23" s="79">
        <f t="shared" si="7"/>
        <v>2.5641025641025643</v>
      </c>
      <c r="AM23" s="79">
        <f t="shared" si="8"/>
        <v>26.18</v>
      </c>
      <c r="AN23" s="79">
        <f t="shared" si="9"/>
        <v>25.05</v>
      </c>
      <c r="AO23" s="79">
        <f t="shared" si="10"/>
        <v>110.17391304347825</v>
      </c>
      <c r="AP23" s="79">
        <f t="shared" si="11"/>
        <v>28.206249999999997</v>
      </c>
      <c r="AQ23" s="79">
        <f t="shared" si="12"/>
        <v>90.74285714285715</v>
      </c>
      <c r="AR23" s="69">
        <f t="shared" si="13"/>
        <v>0.5370317963702532</v>
      </c>
      <c r="AS23" s="79">
        <f t="shared" si="14"/>
        <v>4.838709677419355</v>
      </c>
      <c r="AT23" s="79">
        <f t="shared" si="15"/>
        <v>32.15625</v>
      </c>
      <c r="AU23" s="79">
        <f t="shared" si="16"/>
        <v>0.06349206349206349</v>
      </c>
      <c r="AV23" s="79">
        <f t="shared" si="17"/>
        <v>0.07076923076923076</v>
      </c>
      <c r="AW23" s="69"/>
      <c r="AX23" s="69"/>
      <c r="AY23" s="69"/>
      <c r="AZ23" s="69">
        <f t="shared" si="18"/>
        <v>2.5100714285714285</v>
      </c>
      <c r="BA23" s="111">
        <f t="shared" si="32"/>
        <v>164.68730132186653</v>
      </c>
      <c r="BB23" s="111">
        <f t="shared" si="19"/>
        <v>120.73989285714286</v>
      </c>
      <c r="BC23" s="25">
        <f t="shared" si="20"/>
        <v>15.397064246499747</v>
      </c>
      <c r="BD23" s="80">
        <f>(('[1]setup'!$B$13*'[1]setup'!$B$14*'[1]setup'!$B$15)/10^(-S23))*10^6</f>
        <v>22.07973229883592</v>
      </c>
      <c r="BE23" s="74">
        <f t="shared" si="21"/>
        <v>46.2153706085357</v>
      </c>
      <c r="BF23" s="75">
        <f t="shared" si="22"/>
        <v>43.947408464723694</v>
      </c>
      <c r="BG23" s="73">
        <f t="shared" si="23"/>
        <v>165.2243331182368</v>
      </c>
      <c r="BH23" s="73">
        <f t="shared" si="24"/>
        <v>189.0349957645145</v>
      </c>
      <c r="BI23" s="76">
        <f t="shared" si="25"/>
        <v>6.721252118150502</v>
      </c>
      <c r="BJ23" s="59"/>
      <c r="BK23" s="81">
        <f>(3*('[1]setup'!$D$19*(10^-S23)^3)+2*('[1]setup'!$D$20*'[1]setup'!$D$19*((10^-S23)^2))+('[1]setup'!$D$21*'[1]setup'!$D$19*10^-S23)+('[1]setup'!$D$19*'[1]setup'!$D$22*(AP23/(10^6*2))*(10^-S23)^3))*10^6</f>
        <v>0.0007037999828485101</v>
      </c>
      <c r="BL23" s="82">
        <f t="shared" si="26"/>
        <v>22.405411762240902</v>
      </c>
      <c r="BM23" s="75">
        <f>(BL23/((('[1]setup'!$C$26)/10^-S23)+2*(('[1]setup'!$C$26*'[1]setup'!$C$27)/(10^-S23^2))+3*(('[1]setup'!$C$26*'[1]setup'!$C$27*'[1]setup'!$C$28)/(10^-S23^3))))/(10^-S23^3/(10^-S23^3+'[1]setup'!$C$26*10^-S23^2+'[1]setup'!$C$26*'[1]setup'!$C$27*10^-S23+'[1]setup'!$C$26*'[1]setup'!$C$27*'[1]setup'!$C$28))</f>
        <v>9.42284800283332</v>
      </c>
      <c r="BN23" s="75"/>
      <c r="BO23" s="137">
        <f t="shared" si="27"/>
        <v>164.68730132186653</v>
      </c>
      <c r="BP23" s="137">
        <f t="shared" si="28"/>
        <v>120.73989285714286</v>
      </c>
      <c r="BQ23" s="137">
        <f t="shared" si="29"/>
        <v>1.3639841598726727</v>
      </c>
      <c r="BR23" s="137">
        <f t="shared" si="30"/>
        <v>43.22812275043795</v>
      </c>
      <c r="BS23" s="137">
        <f t="shared" si="31"/>
        <v>1.214133172708356</v>
      </c>
      <c r="BT23" s="69"/>
      <c r="BU23" s="25" t="s">
        <v>75</v>
      </c>
    </row>
    <row r="24" spans="1:73" ht="12.75">
      <c r="A24" s="104">
        <v>38517</v>
      </c>
      <c r="B24" s="75">
        <v>11.15</v>
      </c>
      <c r="C24" s="24" t="s">
        <v>98</v>
      </c>
      <c r="D24" s="83">
        <v>832838</v>
      </c>
      <c r="E24" s="22"/>
      <c r="F24" s="34">
        <v>0.0367</v>
      </c>
      <c r="G24" s="9">
        <f>G6</f>
        <v>0.002</v>
      </c>
      <c r="H24" s="34">
        <v>0.1065</v>
      </c>
      <c r="I24" s="32">
        <v>1.96</v>
      </c>
      <c r="J24" s="9">
        <v>0.01009</v>
      </c>
      <c r="K24" s="29">
        <v>0.025018</v>
      </c>
      <c r="L24" s="9">
        <v>0.0052</v>
      </c>
      <c r="M24" s="9">
        <f>M6</f>
        <v>0.1</v>
      </c>
      <c r="N24" s="32">
        <v>0.5431</v>
      </c>
      <c r="O24" s="32">
        <v>0.2973</v>
      </c>
      <c r="P24" s="32">
        <v>2.503</v>
      </c>
      <c r="Q24" s="29">
        <v>0.4209</v>
      </c>
      <c r="R24" s="29">
        <v>2.84</v>
      </c>
      <c r="S24" s="24">
        <v>5.92</v>
      </c>
      <c r="T24" s="24">
        <v>18.8</v>
      </c>
      <c r="U24" s="24">
        <v>21.64</v>
      </c>
      <c r="V24" s="9">
        <f>V6</f>
        <v>0.05</v>
      </c>
      <c r="W24" s="32">
        <v>0.4982</v>
      </c>
      <c r="X24" s="9">
        <f>X6</f>
        <v>0.002</v>
      </c>
      <c r="Y24" s="34">
        <v>0.0026</v>
      </c>
      <c r="Z24" s="33">
        <v>7.297</v>
      </c>
      <c r="AB24"/>
      <c r="AD24" s="25"/>
      <c r="AE24" s="106">
        <f t="shared" si="0"/>
        <v>1.310714285714286</v>
      </c>
      <c r="AF24" s="79">
        <f t="shared" si="1"/>
        <v>0.07272727272727272</v>
      </c>
      <c r="AG24" s="79">
        <f t="shared" si="2"/>
        <v>11.83333333333333</v>
      </c>
      <c r="AH24" s="79">
        <f t="shared" si="3"/>
        <v>279.99999999999994</v>
      </c>
      <c r="AI24" s="79">
        <f t="shared" si="4"/>
        <v>0.7207142857142856</v>
      </c>
      <c r="AJ24" s="79">
        <f t="shared" si="5"/>
        <v>1.787</v>
      </c>
      <c r="AK24" s="79">
        <f t="shared" si="6"/>
        <v>0.5032258064516129</v>
      </c>
      <c r="AL24" s="79">
        <f t="shared" si="7"/>
        <v>2.5641025641025643</v>
      </c>
      <c r="AM24" s="79">
        <f t="shared" si="8"/>
        <v>27.155</v>
      </c>
      <c r="AN24" s="79">
        <f t="shared" si="9"/>
        <v>24.775000000000002</v>
      </c>
      <c r="AO24" s="79">
        <f t="shared" si="10"/>
        <v>108.82608695652173</v>
      </c>
      <c r="AP24" s="79">
        <f t="shared" si="11"/>
        <v>26.30625</v>
      </c>
      <c r="AQ24" s="79">
        <f t="shared" si="12"/>
        <v>81.14285714285714</v>
      </c>
      <c r="AR24" s="69">
        <f t="shared" si="13"/>
        <v>1.2022644346174132</v>
      </c>
      <c r="AS24" s="79">
        <f t="shared" si="14"/>
        <v>4.838709677419355</v>
      </c>
      <c r="AT24" s="79">
        <f t="shared" si="15"/>
        <v>31.1375</v>
      </c>
      <c r="AU24" s="79">
        <f t="shared" si="16"/>
        <v>0.06349206349206349</v>
      </c>
      <c r="AV24" s="79">
        <f t="shared" si="17"/>
        <v>0.07999999999999999</v>
      </c>
      <c r="AW24" s="69"/>
      <c r="AX24" s="69"/>
      <c r="AY24" s="69"/>
      <c r="AZ24" s="69">
        <f t="shared" si="18"/>
        <v>2.5077142857142856</v>
      </c>
      <c r="BA24" s="111">
        <f t="shared" si="32"/>
        <v>164.04090380633858</v>
      </c>
      <c r="BB24" s="111">
        <f t="shared" si="19"/>
        <v>109.23610714285714</v>
      </c>
      <c r="BC24" s="25">
        <f t="shared" si="20"/>
        <v>20.054667779453307</v>
      </c>
      <c r="BD24" s="80">
        <f>(('[1]setup'!$B$13*'[1]setup'!$B$14*'[1]setup'!$B$15)/10^(-S24))*10^6</f>
        <v>9.86265413697567</v>
      </c>
      <c r="BE24" s="74">
        <f t="shared" si="21"/>
        <v>66.31981529139462</v>
      </c>
      <c r="BF24" s="75">
        <f t="shared" si="22"/>
        <v>54.804796663481454</v>
      </c>
      <c r="BG24" s="73">
        <f t="shared" si="23"/>
        <v>165.243168240956</v>
      </c>
      <c r="BH24" s="73">
        <f t="shared" si="24"/>
        <v>185.41857657122745</v>
      </c>
      <c r="BI24" s="76">
        <f t="shared" si="25"/>
        <v>5.753524194969574</v>
      </c>
      <c r="BJ24" s="59"/>
      <c r="BK24" s="81">
        <f>(3*('[1]setup'!$D$19*(10^-S24)^3)+2*('[1]setup'!$D$20*'[1]setup'!$D$19*((10^-S24)^2))+('[1]setup'!$D$21*'[1]setup'!$D$19*10^-S24)+('[1]setup'!$D$19*'[1]setup'!$D$22*(AP24/(10^6*2))*(10^-S24)^3))*10^6</f>
        <v>0.0025104082644801648</v>
      </c>
      <c r="BL24" s="82">
        <f t="shared" si="26"/>
        <v>46.146917369387666</v>
      </c>
      <c r="BM24" s="75">
        <f>(BL24/((('[1]setup'!$C$26)/10^-S24)+2*(('[1]setup'!$C$26*'[1]setup'!$C$27)/(10^-S24^2))+3*(('[1]setup'!$C$26*'[1]setup'!$C$27*'[1]setup'!$C$28)/(10^-S24^3))))/(10^-S24^3/(10^-S24^3+'[1]setup'!$C$26*10^-S24^2+'[1]setup'!$C$26*'[1]setup'!$C$27*10^-S24+'[1]setup'!$C$26*'[1]setup'!$C$27*'[1]setup'!$C$28))</f>
        <v>21.091983495834818</v>
      </c>
      <c r="BN24" s="75"/>
      <c r="BO24" s="137">
        <f t="shared" si="27"/>
        <v>164.04090380633858</v>
      </c>
      <c r="BP24" s="137">
        <f t="shared" si="28"/>
        <v>109.23610714285714</v>
      </c>
      <c r="BQ24" s="137">
        <f t="shared" si="29"/>
        <v>1.5017095363148436</v>
      </c>
      <c r="BR24" s="137">
        <f t="shared" si="30"/>
        <v>54.08408237776716</v>
      </c>
      <c r="BS24" s="137">
        <f t="shared" si="31"/>
        <v>1.3411665646050215</v>
      </c>
      <c r="BT24" s="69"/>
      <c r="BU24" s="25" t="s">
        <v>66</v>
      </c>
    </row>
    <row r="25" spans="1:84" s="25" customFormat="1" ht="12.75">
      <c r="A25" s="104">
        <v>38531</v>
      </c>
      <c r="B25" s="75">
        <v>13.4</v>
      </c>
      <c r="C25" s="24" t="s">
        <v>99</v>
      </c>
      <c r="D25" s="83">
        <v>844241</v>
      </c>
      <c r="E25" s="110"/>
      <c r="F25" s="4">
        <f>F6</f>
        <v>0.006</v>
      </c>
      <c r="G25" s="9">
        <f>G6</f>
        <v>0.002</v>
      </c>
      <c r="H25" s="34">
        <v>0.0233</v>
      </c>
      <c r="I25" s="20">
        <v>2.915</v>
      </c>
      <c r="J25" s="9">
        <v>0.0106</v>
      </c>
      <c r="K25" s="29">
        <v>0.02949</v>
      </c>
      <c r="L25" s="9">
        <v>0.00509</v>
      </c>
      <c r="M25" s="32">
        <v>0.1247</v>
      </c>
      <c r="N25" s="32">
        <v>0.6239</v>
      </c>
      <c r="O25" s="32">
        <v>0.3161</v>
      </c>
      <c r="P25" s="32">
        <v>2.792</v>
      </c>
      <c r="Q25" s="29">
        <v>0.7112</v>
      </c>
      <c r="R25" s="29">
        <v>3.325</v>
      </c>
      <c r="S25" s="5">
        <v>6.42</v>
      </c>
      <c r="T25" s="5">
        <v>17</v>
      </c>
      <c r="U25" s="5">
        <v>23.091</v>
      </c>
      <c r="V25" s="9">
        <f>V6</f>
        <v>0.05</v>
      </c>
      <c r="W25" s="31">
        <v>0.701</v>
      </c>
      <c r="X25" s="9">
        <f>X6</f>
        <v>0.002</v>
      </c>
      <c r="Y25" s="34">
        <v>0.0027</v>
      </c>
      <c r="Z25" s="33">
        <v>2.459</v>
      </c>
      <c r="AA25" s="1"/>
      <c r="AB25" s="1"/>
      <c r="AD25"/>
      <c r="AE25" s="106">
        <f t="shared" si="0"/>
        <v>0.2142857142857143</v>
      </c>
      <c r="AF25" s="79">
        <f t="shared" si="1"/>
        <v>0.07272727272727272</v>
      </c>
      <c r="AG25" s="79">
        <f t="shared" si="2"/>
        <v>2.5888888888888895</v>
      </c>
      <c r="AH25" s="79">
        <f t="shared" si="3"/>
        <v>416.42857142857144</v>
      </c>
      <c r="AI25" s="79">
        <f t="shared" si="4"/>
        <v>0.7571428571428571</v>
      </c>
      <c r="AJ25" s="79">
        <f t="shared" si="5"/>
        <v>2.1064285714285713</v>
      </c>
      <c r="AK25" s="79">
        <f t="shared" si="6"/>
        <v>0.49258064516129035</v>
      </c>
      <c r="AL25" s="79">
        <f t="shared" si="7"/>
        <v>3.1974358974358976</v>
      </c>
      <c r="AM25" s="79">
        <f t="shared" si="8"/>
        <v>31.195</v>
      </c>
      <c r="AN25" s="79">
        <f t="shared" si="9"/>
        <v>26.341666666666665</v>
      </c>
      <c r="AO25" s="79">
        <f t="shared" si="10"/>
        <v>121.39130434782608</v>
      </c>
      <c r="AP25" s="79">
        <f t="shared" si="11"/>
        <v>44.45</v>
      </c>
      <c r="AQ25" s="79">
        <f t="shared" si="12"/>
        <v>95</v>
      </c>
      <c r="AR25" s="69">
        <f t="shared" si="13"/>
        <v>0.3801893963205612</v>
      </c>
      <c r="AS25" s="79">
        <f t="shared" si="14"/>
        <v>4.838709677419355</v>
      </c>
      <c r="AT25" s="79">
        <f t="shared" si="15"/>
        <v>43.8125</v>
      </c>
      <c r="AU25" s="79">
        <f t="shared" si="16"/>
        <v>0.06349206349206349</v>
      </c>
      <c r="AV25" s="79">
        <f t="shared" si="17"/>
        <v>0.08307692307692309</v>
      </c>
      <c r="AW25" s="69"/>
      <c r="AX25" s="69"/>
      <c r="AY25" s="69"/>
      <c r="AZ25" s="69">
        <f t="shared" si="18"/>
        <v>2.8635714285714284</v>
      </c>
      <c r="BA25" s="111">
        <f t="shared" si="32"/>
        <v>182.8825497690715</v>
      </c>
      <c r="BB25" s="111">
        <f t="shared" si="19"/>
        <v>141.55642857142857</v>
      </c>
      <c r="BC25" s="25">
        <f t="shared" si="20"/>
        <v>12.737717708588942</v>
      </c>
      <c r="BD25" s="80">
        <f>(('[1]setup'!$B$13*'[1]setup'!$B$14*'[1]setup'!$B$15)/10^(-S25))*10^6</f>
        <v>31.188450847325424</v>
      </c>
      <c r="BE25" s="74">
        <f t="shared" si="21"/>
        <v>23.388923595585094</v>
      </c>
      <c r="BF25" s="75">
        <f t="shared" si="22"/>
        <v>41.32612119764295</v>
      </c>
      <c r="BG25" s="73">
        <f t="shared" si="23"/>
        <v>183.26273916539208</v>
      </c>
      <c r="BH25" s="73">
        <f t="shared" si="24"/>
        <v>196.13380301433907</v>
      </c>
      <c r="BI25" s="76">
        <f t="shared" si="25"/>
        <v>3.3925095297388332</v>
      </c>
      <c r="BJ25" s="59"/>
      <c r="BK25" s="81">
        <f>(3*('[1]setup'!$D$19*(10^-S25)^3)+2*('[1]setup'!$D$20*'[1]setup'!$D$19*((10^-S25)^2))+('[1]setup'!$D$21*'[1]setup'!$D$19*10^-S25)+('[1]setup'!$D$19*'[1]setup'!$D$22*(AP25/(10^6*2))*(10^-S25)^3))*10^6</f>
        <v>0.00044334670786487984</v>
      </c>
      <c r="BL25" s="82">
        <f t="shared" si="26"/>
        <v>10.518303093345963</v>
      </c>
      <c r="BM25" s="75">
        <f>(BL25/((('[1]setup'!$C$26)/10^-S25)+2*(('[1]setup'!$C$26*'[1]setup'!$C$27)/(10^-S25^2))+3*(('[1]setup'!$C$26*'[1]setup'!$C$27*'[1]setup'!$C$28)/(10^-S25^3))))/(10^-S25^3/(10^-S25^3+'[1]setup'!$C$26*10^-S25^2+'[1]setup'!$C$26*'[1]setup'!$C$27*10^-S25+'[1]setup'!$C$26*'[1]setup'!$C$27*'[1]setup'!$C$28))</f>
        <v>4.26266596426878</v>
      </c>
      <c r="BN25" s="75"/>
      <c r="BO25" s="137">
        <f t="shared" si="27"/>
        <v>182.8825497690715</v>
      </c>
      <c r="BP25" s="137">
        <f t="shared" si="28"/>
        <v>141.55642857142857</v>
      </c>
      <c r="BQ25" s="137">
        <f t="shared" si="29"/>
        <v>1.2919409709237613</v>
      </c>
      <c r="BR25" s="137">
        <f t="shared" si="30"/>
        <v>40.56897834050005</v>
      </c>
      <c r="BS25" s="137">
        <f t="shared" si="31"/>
        <v>1.2778032036613272</v>
      </c>
      <c r="BT25" s="69"/>
      <c r="BU25"/>
      <c r="BW25" s="126"/>
      <c r="BX25" s="127"/>
      <c r="BY25" s="128"/>
      <c r="BZ25" s="128"/>
      <c r="CA25" s="128"/>
      <c r="CB25" s="128"/>
      <c r="CC25" s="81"/>
      <c r="CD25" s="126"/>
      <c r="CE25" s="128"/>
      <c r="CF25" s="129"/>
    </row>
    <row r="26" spans="1:84" s="25" customFormat="1" ht="12.75">
      <c r="A26" s="104">
        <v>38545</v>
      </c>
      <c r="B26" s="75">
        <v>11.15</v>
      </c>
      <c r="C26" s="24" t="s">
        <v>100</v>
      </c>
      <c r="D26" s="83">
        <v>844242</v>
      </c>
      <c r="E26" s="22"/>
      <c r="F26" s="76">
        <f>F6</f>
        <v>0.006</v>
      </c>
      <c r="G26" s="10">
        <f>G6</f>
        <v>0.002</v>
      </c>
      <c r="H26" s="89">
        <v>0.0249</v>
      </c>
      <c r="I26" s="75">
        <v>3.051</v>
      </c>
      <c r="J26" s="10">
        <v>0.01006</v>
      </c>
      <c r="K26" s="86">
        <v>0.025013</v>
      </c>
      <c r="L26" s="10">
        <v>0.005</v>
      </c>
      <c r="M26" s="87">
        <v>0.10004</v>
      </c>
      <c r="N26" s="87">
        <v>0.6624</v>
      </c>
      <c r="O26" s="87">
        <v>0.2933</v>
      </c>
      <c r="P26" s="87">
        <v>2.823</v>
      </c>
      <c r="Q26" s="86">
        <v>0.7401</v>
      </c>
      <c r="R26" s="86">
        <v>3.395</v>
      </c>
      <c r="S26" s="24">
        <v>6.53</v>
      </c>
      <c r="T26" s="24">
        <v>17.8</v>
      </c>
      <c r="U26" s="24">
        <v>23.895</v>
      </c>
      <c r="V26" s="10">
        <f>V6</f>
        <v>0.05</v>
      </c>
      <c r="W26" s="75">
        <v>0.7418</v>
      </c>
      <c r="X26" s="10">
        <f>X6</f>
        <v>0.002</v>
      </c>
      <c r="Y26" s="10">
        <f>Y6</f>
        <v>0.002</v>
      </c>
      <c r="Z26" s="88">
        <v>2.348</v>
      </c>
      <c r="AD26" s="8"/>
      <c r="AE26" s="106">
        <f t="shared" si="0"/>
        <v>0.2142857142857143</v>
      </c>
      <c r="AF26" s="79">
        <f t="shared" si="1"/>
        <v>0.07272727272727272</v>
      </c>
      <c r="AG26" s="79">
        <f t="shared" si="2"/>
        <v>2.7666666666666666</v>
      </c>
      <c r="AH26" s="79">
        <f t="shared" si="3"/>
        <v>435.8571428571429</v>
      </c>
      <c r="AI26" s="79">
        <f t="shared" si="4"/>
        <v>0.7185714285714285</v>
      </c>
      <c r="AJ26" s="79">
        <f t="shared" si="5"/>
        <v>1.786642857142857</v>
      </c>
      <c r="AK26" s="79">
        <f t="shared" si="6"/>
        <v>0.4838709677419355</v>
      </c>
      <c r="AL26" s="79">
        <f t="shared" si="7"/>
        <v>2.565128205128205</v>
      </c>
      <c r="AM26" s="79">
        <f t="shared" si="8"/>
        <v>33.12</v>
      </c>
      <c r="AN26" s="79">
        <f t="shared" si="9"/>
        <v>24.441666666666666</v>
      </c>
      <c r="AO26" s="79">
        <f t="shared" si="10"/>
        <v>122.7391304347826</v>
      </c>
      <c r="AP26" s="79">
        <f t="shared" si="11"/>
        <v>46.25625</v>
      </c>
      <c r="AQ26" s="79">
        <f t="shared" si="12"/>
        <v>97</v>
      </c>
      <c r="AR26" s="69">
        <f t="shared" si="13"/>
        <v>0.29512092266663836</v>
      </c>
      <c r="AS26" s="79">
        <f t="shared" si="14"/>
        <v>4.838709677419355</v>
      </c>
      <c r="AT26" s="79">
        <f t="shared" si="15"/>
        <v>46.362500000000004</v>
      </c>
      <c r="AU26" s="79">
        <f t="shared" si="16"/>
        <v>0.06349206349206349</v>
      </c>
      <c r="AV26" s="79">
        <f t="shared" si="17"/>
        <v>0.061538461538461535</v>
      </c>
      <c r="AW26" s="69"/>
      <c r="AX26" s="69"/>
      <c r="AY26" s="69"/>
      <c r="AZ26" s="69">
        <f t="shared" si="18"/>
        <v>2.5052142857142856</v>
      </c>
      <c r="BA26" s="111">
        <f t="shared" si="32"/>
        <v>183.58449673514892</v>
      </c>
      <c r="BB26" s="111">
        <f t="shared" si="19"/>
        <v>145.04289285714287</v>
      </c>
      <c r="BC26" s="25">
        <f t="shared" si="20"/>
        <v>11.728055876846506</v>
      </c>
      <c r="BD26" s="80">
        <f>(('[1]setup'!$B$13*'[1]setup'!$B$14*'[1]setup'!$B$15)/10^(-S26))*10^6</f>
        <v>40.178507822070344</v>
      </c>
      <c r="BE26" s="74">
        <f t="shared" si="21"/>
        <v>22.48921549509056</v>
      </c>
      <c r="BF26" s="75">
        <f t="shared" si="22"/>
        <v>38.54160387800607</v>
      </c>
      <c r="BG26" s="73">
        <f t="shared" si="23"/>
        <v>183.87961765781554</v>
      </c>
      <c r="BH26" s="73">
        <f t="shared" si="24"/>
        <v>207.71061617430374</v>
      </c>
      <c r="BI26" s="76">
        <f t="shared" si="25"/>
        <v>6.085697869243824</v>
      </c>
      <c r="BJ26" s="59"/>
      <c r="BK26" s="81">
        <f>(3*('[1]setup'!$D$19*(10^-S26)^3)+2*('[1]setup'!$D$20*'[1]setup'!$D$19*((10^-S26)^2))+('[1]setup'!$D$21*'[1]setup'!$D$19*10^-S26)+('[1]setup'!$D$19*'[1]setup'!$D$22*(AP26/(10^6*2))*(10^-S26)^3))*10^6</f>
        <v>0.0003228341337754166</v>
      </c>
      <c r="BL26" s="82">
        <f t="shared" si="26"/>
        <v>-1.3414601872638627</v>
      </c>
      <c r="BM26" s="75">
        <f>(BL26/((('[1]setup'!$C$26)/10^-S26)+2*(('[1]setup'!$C$26*'[1]setup'!$C$27)/(10^-S26^2))+3*(('[1]setup'!$C$26*'[1]setup'!$C$27*'[1]setup'!$C$28)/(10^-S26^3))))/(10^-S26^3/(10^-S26^3+'[1]setup'!$C$26*10^-S26^2+'[1]setup'!$C$26*'[1]setup'!$C$27*10^-S26+'[1]setup'!$C$26*'[1]setup'!$C$27*'[1]setup'!$C$28))</f>
        <v>-0.5294949442775627</v>
      </c>
      <c r="BN26" s="75"/>
      <c r="BO26" s="137">
        <f t="shared" si="27"/>
        <v>183.5844967351489</v>
      </c>
      <c r="BP26" s="137">
        <f t="shared" si="28"/>
        <v>145.04289285714287</v>
      </c>
      <c r="BQ26" s="137">
        <f t="shared" si="29"/>
        <v>1.265725559651977</v>
      </c>
      <c r="BR26" s="137">
        <f t="shared" si="30"/>
        <v>37.823032449434606</v>
      </c>
      <c r="BS26" s="137">
        <f t="shared" si="31"/>
        <v>1.2653518601523979</v>
      </c>
      <c r="BT26" s="69"/>
      <c r="BU26" s="25" t="s">
        <v>76</v>
      </c>
      <c r="BW26" s="126"/>
      <c r="BX26" s="127"/>
      <c r="BY26" s="128"/>
      <c r="BZ26" s="128"/>
      <c r="CA26" s="128"/>
      <c r="CB26" s="128"/>
      <c r="CC26" s="81"/>
      <c r="CD26" s="126"/>
      <c r="CE26" s="128"/>
      <c r="CF26" s="129"/>
    </row>
    <row r="27" spans="1:73" s="25" customFormat="1" ht="12.75">
      <c r="A27" s="104">
        <v>38559</v>
      </c>
      <c r="B27" s="75">
        <v>10.05</v>
      </c>
      <c r="C27" s="24" t="s">
        <v>101</v>
      </c>
      <c r="D27" s="83">
        <v>844243</v>
      </c>
      <c r="E27" s="110"/>
      <c r="F27" s="4">
        <f>F6</f>
        <v>0.006</v>
      </c>
      <c r="G27" s="9">
        <f>G6</f>
        <v>0.002</v>
      </c>
      <c r="H27" s="34">
        <v>0.0225</v>
      </c>
      <c r="I27" s="20">
        <v>3.167</v>
      </c>
      <c r="J27" s="9">
        <v>0.01</v>
      </c>
      <c r="K27" s="29">
        <v>0.0250313</v>
      </c>
      <c r="L27" s="9">
        <v>0.00507</v>
      </c>
      <c r="M27" s="32">
        <v>0.118</v>
      </c>
      <c r="N27" s="32">
        <v>0.6955</v>
      </c>
      <c r="O27" s="32">
        <v>0.3279</v>
      </c>
      <c r="P27" s="32">
        <v>2.909</v>
      </c>
      <c r="Q27" s="29">
        <v>0.656</v>
      </c>
      <c r="R27" s="29">
        <v>2.945</v>
      </c>
      <c r="S27" s="5">
        <v>6.5</v>
      </c>
      <c r="T27" s="5">
        <v>18.4</v>
      </c>
      <c r="U27" s="5">
        <v>24.171</v>
      </c>
      <c r="V27" s="9">
        <f>V6</f>
        <v>0.05</v>
      </c>
      <c r="W27" s="20">
        <v>0.7113</v>
      </c>
      <c r="X27" s="9">
        <f>X6</f>
        <v>0.002</v>
      </c>
      <c r="Y27" s="9">
        <f>Y6</f>
        <v>0.002</v>
      </c>
      <c r="Z27" s="33">
        <v>2.189</v>
      </c>
      <c r="AE27" s="106">
        <f t="shared" si="0"/>
        <v>0.2142857142857143</v>
      </c>
      <c r="AF27" s="79">
        <f t="shared" si="1"/>
        <v>0.07272727272727272</v>
      </c>
      <c r="AG27" s="79">
        <f t="shared" si="2"/>
        <v>2.4999999999999996</v>
      </c>
      <c r="AH27" s="79">
        <f t="shared" si="3"/>
        <v>452.4285714285714</v>
      </c>
      <c r="AI27" s="79">
        <f t="shared" si="4"/>
        <v>0.7142857142857143</v>
      </c>
      <c r="AJ27" s="79">
        <f t="shared" si="5"/>
        <v>1.78795</v>
      </c>
      <c r="AK27" s="79">
        <f t="shared" si="6"/>
        <v>0.49064516129032254</v>
      </c>
      <c r="AL27" s="79">
        <f t="shared" si="7"/>
        <v>3.0256410256410255</v>
      </c>
      <c r="AM27" s="79">
        <f t="shared" si="8"/>
        <v>34.775</v>
      </c>
      <c r="AN27" s="79">
        <f t="shared" si="9"/>
        <v>27.325000000000003</v>
      </c>
      <c r="AO27" s="79">
        <f t="shared" si="10"/>
        <v>126.4782608695652</v>
      </c>
      <c r="AP27" s="79">
        <f t="shared" si="11"/>
        <v>41</v>
      </c>
      <c r="AQ27" s="79">
        <f t="shared" si="12"/>
        <v>84.14285714285714</v>
      </c>
      <c r="AR27" s="69">
        <f t="shared" si="13"/>
        <v>0.31622776601683794</v>
      </c>
      <c r="AS27" s="79">
        <f t="shared" si="14"/>
        <v>4.838709677419355</v>
      </c>
      <c r="AT27" s="79">
        <f t="shared" si="15"/>
        <v>44.456250000000004</v>
      </c>
      <c r="AU27" s="79">
        <f t="shared" si="16"/>
        <v>0.06349206349206349</v>
      </c>
      <c r="AV27" s="79">
        <f t="shared" si="17"/>
        <v>0.061538461538461535</v>
      </c>
      <c r="AW27" s="69"/>
      <c r="AX27" s="69"/>
      <c r="AY27" s="69"/>
      <c r="AZ27" s="69">
        <f t="shared" si="18"/>
        <v>2.5022357142857143</v>
      </c>
      <c r="BA27" s="111">
        <f t="shared" si="32"/>
        <v>192.31818760949196</v>
      </c>
      <c r="BB27" s="111">
        <f t="shared" si="19"/>
        <v>126.93080714285713</v>
      </c>
      <c r="BC27" s="25">
        <f t="shared" si="20"/>
        <v>20.481624544302093</v>
      </c>
      <c r="BD27" s="80">
        <f>(('[1]setup'!$B$13*'[1]setup'!$B$14*'[1]setup'!$B$15)/10^(-S27))*10^6</f>
        <v>37.49676522455271</v>
      </c>
      <c r="BE27" s="74">
        <f t="shared" si="21"/>
        <v>20.928417839719636</v>
      </c>
      <c r="BF27" s="75">
        <f t="shared" si="22"/>
        <v>65.38738046663482</v>
      </c>
      <c r="BG27" s="73">
        <f t="shared" si="23"/>
        <v>192.6344153755088</v>
      </c>
      <c r="BH27" s="73">
        <f t="shared" si="24"/>
        <v>185.35599020712948</v>
      </c>
      <c r="BI27" s="76">
        <f t="shared" si="25"/>
        <v>1.9255581784305582</v>
      </c>
      <c r="BJ27" s="59"/>
      <c r="BK27" s="81">
        <f>(3*('[1]setup'!$D$19*(10^-S27)^3)+2*('[1]setup'!$D$20*'[1]setup'!$D$19*((10^-S27)^2))+('[1]setup'!$D$21*'[1]setup'!$D$19*10^-S27)+('[1]setup'!$D$19*'[1]setup'!$D$22*(AP27/(10^6*2))*(10^-S27)^3))*10^6</f>
        <v>0.0003514542137554009</v>
      </c>
      <c r="BL27" s="82">
        <f t="shared" si="26"/>
        <v>28.207194462312714</v>
      </c>
      <c r="BM27" s="75">
        <f>(BL27/((('[1]setup'!$C$26)/10^-S27)+2*(('[1]setup'!$C$26*'[1]setup'!$C$27)/(10^-S27^2))+3*(('[1]setup'!$C$26*'[1]setup'!$C$27*'[1]setup'!$C$28)/(10^-S27^3))))/(10^-S27^3/(10^-S27^3+'[1]setup'!$C$26*10^-S27^2+'[1]setup'!$C$26*'[1]setup'!$C$27*10^-S27+'[1]setup'!$C$26*'[1]setup'!$C$27*'[1]setup'!$C$28))</f>
        <v>11.212875201318038</v>
      </c>
      <c r="BN27" s="75"/>
      <c r="BO27" s="137">
        <f t="shared" si="27"/>
        <v>192.31818760949193</v>
      </c>
      <c r="BP27" s="137">
        <f t="shared" si="28"/>
        <v>126.93080714285713</v>
      </c>
      <c r="BQ27" s="137">
        <f t="shared" si="29"/>
        <v>1.5151419260498604</v>
      </c>
      <c r="BR27" s="137">
        <f t="shared" si="30"/>
        <v>64.6730947523491</v>
      </c>
      <c r="BS27" s="137">
        <f t="shared" si="31"/>
        <v>1.5031372259540856</v>
      </c>
      <c r="BT27" s="69"/>
      <c r="BU27" s="25" t="s">
        <v>77</v>
      </c>
    </row>
    <row r="28" spans="1:73" s="25" customFormat="1" ht="12.75">
      <c r="A28" s="104">
        <v>38573</v>
      </c>
      <c r="B28" s="75">
        <v>12.45</v>
      </c>
      <c r="C28" s="24" t="s">
        <v>102</v>
      </c>
      <c r="D28" s="83">
        <v>844244</v>
      </c>
      <c r="E28" s="22"/>
      <c r="F28" s="76">
        <f>F6</f>
        <v>0.006</v>
      </c>
      <c r="G28" s="10">
        <f>G6</f>
        <v>0.002</v>
      </c>
      <c r="H28" s="89">
        <v>0.0247</v>
      </c>
      <c r="I28" s="75">
        <v>3.265</v>
      </c>
      <c r="J28" s="10">
        <v>0.01004</v>
      </c>
      <c r="K28" s="86">
        <v>0.0250829</v>
      </c>
      <c r="L28" s="10">
        <v>0.00501</v>
      </c>
      <c r="M28" s="87">
        <v>0.1366</v>
      </c>
      <c r="N28" s="87">
        <v>0.711</v>
      </c>
      <c r="O28" s="87">
        <v>0.3462</v>
      </c>
      <c r="P28" s="87">
        <v>2.952</v>
      </c>
      <c r="Q28" s="86">
        <v>0.6953</v>
      </c>
      <c r="R28" s="86">
        <v>3.208</v>
      </c>
      <c r="S28" s="24">
        <v>6.61</v>
      </c>
      <c r="T28" s="24">
        <v>17.5</v>
      </c>
      <c r="U28" s="24">
        <v>24.695</v>
      </c>
      <c r="V28" s="10">
        <f>V6</f>
        <v>0.05</v>
      </c>
      <c r="W28" s="75">
        <v>0.7316</v>
      </c>
      <c r="X28" s="10">
        <f>X6</f>
        <v>0.002</v>
      </c>
      <c r="Y28" s="89">
        <v>0.0023</v>
      </c>
      <c r="Z28" s="88">
        <v>2.67</v>
      </c>
      <c r="AE28" s="106">
        <f t="shared" si="0"/>
        <v>0.2142857142857143</v>
      </c>
      <c r="AF28" s="79">
        <f t="shared" si="1"/>
        <v>0.07272727272727272</v>
      </c>
      <c r="AG28" s="79">
        <f t="shared" si="2"/>
        <v>2.7444444444444445</v>
      </c>
      <c r="AH28" s="79">
        <f t="shared" si="3"/>
        <v>466.42857142857144</v>
      </c>
      <c r="AI28" s="79">
        <f t="shared" si="4"/>
        <v>0.7171428571428572</v>
      </c>
      <c r="AJ28" s="79">
        <f t="shared" si="5"/>
        <v>1.7916357142857142</v>
      </c>
      <c r="AK28" s="79">
        <f t="shared" si="6"/>
        <v>0.4848387096774194</v>
      </c>
      <c r="AL28" s="79">
        <f t="shared" si="7"/>
        <v>3.5025641025641026</v>
      </c>
      <c r="AM28" s="79">
        <f t="shared" si="8"/>
        <v>35.55</v>
      </c>
      <c r="AN28" s="79">
        <f t="shared" si="9"/>
        <v>28.85</v>
      </c>
      <c r="AO28" s="79">
        <f t="shared" si="10"/>
        <v>128.34782608695653</v>
      </c>
      <c r="AP28" s="79">
        <f t="shared" si="11"/>
        <v>43.456250000000004</v>
      </c>
      <c r="AQ28" s="79">
        <f t="shared" si="12"/>
        <v>91.65714285714287</v>
      </c>
      <c r="AR28" s="69">
        <f t="shared" si="13"/>
        <v>0.24547089156850282</v>
      </c>
      <c r="AS28" s="79">
        <f t="shared" si="14"/>
        <v>4.838709677419355</v>
      </c>
      <c r="AT28" s="79">
        <f t="shared" si="15"/>
        <v>45.725</v>
      </c>
      <c r="AU28" s="79">
        <f t="shared" si="16"/>
        <v>0.06349206349206349</v>
      </c>
      <c r="AV28" s="79">
        <f t="shared" si="17"/>
        <v>0.07076923076923076</v>
      </c>
      <c r="AW28" s="69"/>
      <c r="AX28" s="69"/>
      <c r="AY28" s="69"/>
      <c r="AZ28" s="69">
        <f t="shared" si="18"/>
        <v>2.5087785714285715</v>
      </c>
      <c r="BA28" s="111">
        <f t="shared" si="32"/>
        <v>196.96753304666348</v>
      </c>
      <c r="BB28" s="111">
        <f t="shared" si="19"/>
        <v>136.9050285714286</v>
      </c>
      <c r="BC28" s="25">
        <f t="shared" si="20"/>
        <v>17.989649758622207</v>
      </c>
      <c r="BD28" s="80">
        <f>(('[1]setup'!$B$13*'[1]setup'!$B$14*'[1]setup'!$B$15)/10^(-S28))*10^6</f>
        <v>48.30519099047277</v>
      </c>
      <c r="BE28" s="74">
        <f t="shared" si="21"/>
        <v>25.68899072026873</v>
      </c>
      <c r="BF28" s="75">
        <f t="shared" si="22"/>
        <v>60.062504475234874</v>
      </c>
      <c r="BG28" s="73">
        <f t="shared" si="23"/>
        <v>197.213003938232</v>
      </c>
      <c r="BH28" s="73">
        <f t="shared" si="24"/>
        <v>210.8992102821701</v>
      </c>
      <c r="BI28" s="76">
        <f t="shared" si="25"/>
        <v>3.353539998816802</v>
      </c>
      <c r="BJ28" s="59"/>
      <c r="BK28" s="81">
        <f>(3*('[1]setup'!$D$19*(10^-S28)^3)+2*('[1]setup'!$D$20*'[1]setup'!$D$19*((10^-S28)^2))+('[1]setup'!$D$21*'[1]setup'!$D$19*10^-S28)+('[1]setup'!$D$19*'[1]setup'!$D$22*(AP28/(10^6*2))*(10^-S28)^3))*10^6</f>
        <v>0.00025866789689877055</v>
      </c>
      <c r="BL28" s="82">
        <f t="shared" si="26"/>
        <v>12.003043044227525</v>
      </c>
      <c r="BM28" s="75">
        <f>(BL28/((('[1]setup'!$C$26)/10^-S28)+2*(('[1]setup'!$C$26*'[1]setup'!$C$27)/(10^-S28^2))+3*(('[1]setup'!$C$26*'[1]setup'!$C$27*'[1]setup'!$C$28)/(10^-S28^3))))/(10^-S28^3/(10^-S28^3+'[1]setup'!$C$26*10^-S28^2+'[1]setup'!$C$26*'[1]setup'!$C$27*10^-S28+'[1]setup'!$C$26*'[1]setup'!$C$27*'[1]setup'!$C$28))</f>
        <v>4.65181348236236</v>
      </c>
      <c r="BN28" s="75"/>
      <c r="BO28" s="137">
        <f t="shared" si="27"/>
        <v>196.9675330466635</v>
      </c>
      <c r="BP28" s="137">
        <f t="shared" si="28"/>
        <v>136.9050285714286</v>
      </c>
      <c r="BQ28" s="137">
        <f t="shared" si="29"/>
        <v>1.4387165694494413</v>
      </c>
      <c r="BR28" s="137">
        <f t="shared" si="30"/>
        <v>59.34536161809203</v>
      </c>
      <c r="BS28" s="137">
        <f t="shared" si="31"/>
        <v>1.400303588853952</v>
      </c>
      <c r="BT28" s="69"/>
      <c r="BU28" s="25" t="s">
        <v>78</v>
      </c>
    </row>
    <row r="29" spans="1:73" s="25" customFormat="1" ht="12.75">
      <c r="A29" s="104">
        <v>38588</v>
      </c>
      <c r="B29" s="75">
        <v>11.25</v>
      </c>
      <c r="C29" s="24" t="s">
        <v>103</v>
      </c>
      <c r="D29" s="83">
        <v>844245</v>
      </c>
      <c r="E29" s="110"/>
      <c r="F29" s="29">
        <v>0.0129</v>
      </c>
      <c r="G29" s="9">
        <f>G6</f>
        <v>0.002</v>
      </c>
      <c r="H29" s="34">
        <v>0.0744</v>
      </c>
      <c r="I29" s="20">
        <v>2.858</v>
      </c>
      <c r="J29" s="9">
        <v>0.01008</v>
      </c>
      <c r="K29" s="29">
        <v>0.025041</v>
      </c>
      <c r="L29" s="9">
        <v>0.00509</v>
      </c>
      <c r="M29" s="32">
        <v>0.1335</v>
      </c>
      <c r="N29" s="32">
        <v>0.6577</v>
      </c>
      <c r="O29" s="32">
        <v>0.3267</v>
      </c>
      <c r="P29" s="32">
        <v>2.849</v>
      </c>
      <c r="Q29" s="29">
        <v>0.6057</v>
      </c>
      <c r="R29" s="29">
        <v>3.028</v>
      </c>
      <c r="S29" s="5">
        <v>6.34</v>
      </c>
      <c r="T29" s="5">
        <v>17.3</v>
      </c>
      <c r="U29" s="5">
        <v>23.35</v>
      </c>
      <c r="V29" s="9">
        <f>V6</f>
        <v>0.05</v>
      </c>
      <c r="W29" s="20">
        <v>0.6908</v>
      </c>
      <c r="X29" s="9">
        <f>X6</f>
        <v>0.002</v>
      </c>
      <c r="Y29" s="34">
        <v>0.0027</v>
      </c>
      <c r="Z29" s="33">
        <v>4.796</v>
      </c>
      <c r="AE29" s="106">
        <f t="shared" si="0"/>
        <v>0.4607142857142857</v>
      </c>
      <c r="AF29" s="79">
        <f t="shared" si="1"/>
        <v>0.07272727272727272</v>
      </c>
      <c r="AG29" s="79">
        <f t="shared" si="2"/>
        <v>8.266666666666666</v>
      </c>
      <c r="AH29" s="79">
        <f t="shared" si="3"/>
        <v>408.28571428571433</v>
      </c>
      <c r="AI29" s="79">
        <f t="shared" si="4"/>
        <v>0.7200000000000001</v>
      </c>
      <c r="AJ29" s="79">
        <f t="shared" si="5"/>
        <v>1.7886428571428572</v>
      </c>
      <c r="AK29" s="79">
        <f t="shared" si="6"/>
        <v>0.49258064516129035</v>
      </c>
      <c r="AL29" s="79">
        <f t="shared" si="7"/>
        <v>3.4230769230769234</v>
      </c>
      <c r="AM29" s="79">
        <f t="shared" si="8"/>
        <v>32.885</v>
      </c>
      <c r="AN29" s="79">
        <f t="shared" si="9"/>
        <v>27.224999999999998</v>
      </c>
      <c r="AO29" s="79">
        <f t="shared" si="10"/>
        <v>123.86956521739131</v>
      </c>
      <c r="AP29" s="79">
        <f t="shared" si="11"/>
        <v>37.85625</v>
      </c>
      <c r="AQ29" s="79">
        <f t="shared" si="12"/>
        <v>86.5142857142857</v>
      </c>
      <c r="AR29" s="69">
        <f t="shared" si="13"/>
        <v>0.45708818961487513</v>
      </c>
      <c r="AS29" s="79">
        <f t="shared" si="14"/>
        <v>4.838709677419355</v>
      </c>
      <c r="AT29" s="79">
        <f t="shared" si="15"/>
        <v>43.175</v>
      </c>
      <c r="AU29" s="79">
        <f t="shared" si="16"/>
        <v>0.06349206349206349</v>
      </c>
      <c r="AV29" s="79">
        <f t="shared" si="17"/>
        <v>0.08307692307692309</v>
      </c>
      <c r="AW29" s="69"/>
      <c r="AX29" s="69"/>
      <c r="AY29" s="69"/>
      <c r="AZ29" s="69">
        <f t="shared" si="18"/>
        <v>2.508642857142857</v>
      </c>
      <c r="BA29" s="111">
        <f t="shared" si="32"/>
        <v>188.12264214046823</v>
      </c>
      <c r="BB29" s="111">
        <f t="shared" si="19"/>
        <v>126.15917857142855</v>
      </c>
      <c r="BC29" s="25">
        <f t="shared" si="20"/>
        <v>19.715891752403262</v>
      </c>
      <c r="BD29" s="80">
        <f>(('[1]setup'!$B$13*'[1]setup'!$B$14*'[1]setup'!$B$15)/10^(-S29))*10^6</f>
        <v>25.941423491621713</v>
      </c>
      <c r="BE29" s="74">
        <f t="shared" si="21"/>
        <v>45.35959626954061</v>
      </c>
      <c r="BF29" s="75">
        <f t="shared" si="22"/>
        <v>61.96346356903969</v>
      </c>
      <c r="BG29" s="73">
        <f t="shared" si="23"/>
        <v>188.57973033008312</v>
      </c>
      <c r="BH29" s="73">
        <f t="shared" si="24"/>
        <v>197.4601983325909</v>
      </c>
      <c r="BI29" s="76">
        <f t="shared" si="25"/>
        <v>2.300401420462291</v>
      </c>
      <c r="BJ29" s="59"/>
      <c r="BK29" s="81">
        <f>(3*('[1]setup'!$D$19*(10^-S29)^3)+2*('[1]setup'!$D$20*'[1]setup'!$D$19*((10^-S29)^2))+('[1]setup'!$D$21*'[1]setup'!$D$19*10^-S29)+('[1]setup'!$D$19*'[1]setup'!$D$22*(AP29/(10^6*2))*(10^-S29)^3))*10^6</f>
        <v>0.0005645539856066005</v>
      </c>
      <c r="BL29" s="82">
        <f t="shared" si="26"/>
        <v>36.47969282101846</v>
      </c>
      <c r="BM29" s="75">
        <f>(BL29/((('[1]setup'!$C$26)/10^-S29)+2*(('[1]setup'!$C$26*'[1]setup'!$C$27)/(10^-S29^2))+3*(('[1]setup'!$C$26*'[1]setup'!$C$27*'[1]setup'!$C$28)/(10^-S29^3))))/(10^-S29^3/(10^-S29^3+'[1]setup'!$C$26*10^-S29^2+'[1]setup'!$C$26*'[1]setup'!$C$27*10^-S29+'[1]setup'!$C$26*'[1]setup'!$C$27*'[1]setup'!$C$28))</f>
        <v>15.077929232778347</v>
      </c>
      <c r="BN29" s="75"/>
      <c r="BO29" s="137">
        <f t="shared" si="27"/>
        <v>188.12264214046823</v>
      </c>
      <c r="BP29" s="137">
        <f t="shared" si="28"/>
        <v>126.15917857142855</v>
      </c>
      <c r="BQ29" s="137">
        <f t="shared" si="29"/>
        <v>1.4911530359557417</v>
      </c>
      <c r="BR29" s="137">
        <f t="shared" si="30"/>
        <v>61.243463569039676</v>
      </c>
      <c r="BS29" s="137">
        <f t="shared" si="31"/>
        <v>1.431781632301419</v>
      </c>
      <c r="BT29" s="69"/>
      <c r="BU29" s="25" t="s">
        <v>67</v>
      </c>
    </row>
    <row r="30" spans="1:73" s="25" customFormat="1" ht="12.75">
      <c r="A30" s="104">
        <v>38601</v>
      </c>
      <c r="B30" s="75">
        <v>11.3</v>
      </c>
      <c r="C30" s="83" t="s">
        <v>90</v>
      </c>
      <c r="D30" s="24">
        <v>838963</v>
      </c>
      <c r="E30" s="110"/>
      <c r="F30" s="34">
        <v>0.0141</v>
      </c>
      <c r="G30" s="9">
        <f>G6</f>
        <v>0.002</v>
      </c>
      <c r="H30" s="34">
        <v>0.0466</v>
      </c>
      <c r="I30" s="30">
        <v>2.937</v>
      </c>
      <c r="J30" s="9">
        <v>0.0131</v>
      </c>
      <c r="K30" s="29">
        <v>0.025031</v>
      </c>
      <c r="L30" s="9">
        <f>L6</f>
        <v>0.005</v>
      </c>
      <c r="M30" s="32">
        <v>0.10009</v>
      </c>
      <c r="N30" s="32">
        <v>0.5818</v>
      </c>
      <c r="O30" s="32">
        <v>0.3224</v>
      </c>
      <c r="P30" s="32">
        <v>2.841</v>
      </c>
      <c r="Q30" s="29">
        <v>0.5993</v>
      </c>
      <c r="R30" s="29">
        <v>2.83</v>
      </c>
      <c r="S30" s="1">
        <v>6.53</v>
      </c>
      <c r="T30" s="1">
        <v>18.4</v>
      </c>
      <c r="U30" s="1">
        <v>23.607</v>
      </c>
      <c r="V30" s="9">
        <f>V6</f>
        <v>0.05</v>
      </c>
      <c r="W30" s="32">
        <v>0.6286</v>
      </c>
      <c r="X30" s="9">
        <f>X6</f>
        <v>0.002</v>
      </c>
      <c r="Y30" s="9">
        <f>Y6</f>
        <v>0.002</v>
      </c>
      <c r="Z30" s="33">
        <v>2.375</v>
      </c>
      <c r="AE30" s="106">
        <f t="shared" si="0"/>
        <v>0.5035714285714286</v>
      </c>
      <c r="AF30" s="79">
        <f t="shared" si="1"/>
        <v>0.07272727272727272</v>
      </c>
      <c r="AG30" s="79">
        <f t="shared" si="2"/>
        <v>5.177777777777779</v>
      </c>
      <c r="AH30" s="79">
        <f t="shared" si="3"/>
        <v>419.57142857142856</v>
      </c>
      <c r="AI30" s="79">
        <f t="shared" si="4"/>
        <v>0.9357142857142857</v>
      </c>
      <c r="AJ30" s="79">
        <f t="shared" si="5"/>
        <v>1.7879285714285715</v>
      </c>
      <c r="AK30" s="79">
        <f t="shared" si="6"/>
        <v>0.4838709677419355</v>
      </c>
      <c r="AL30" s="79">
        <f t="shared" si="7"/>
        <v>2.566410256410256</v>
      </c>
      <c r="AM30" s="79">
        <f t="shared" si="8"/>
        <v>29.089999999999996</v>
      </c>
      <c r="AN30" s="79">
        <f t="shared" si="9"/>
        <v>26.866666666666667</v>
      </c>
      <c r="AO30" s="79">
        <f t="shared" si="10"/>
        <v>123.5217391304348</v>
      </c>
      <c r="AP30" s="79">
        <f t="shared" si="11"/>
        <v>37.456250000000004</v>
      </c>
      <c r="AQ30" s="79">
        <f t="shared" si="12"/>
        <v>80.85714285714286</v>
      </c>
      <c r="AR30" s="69">
        <f t="shared" si="13"/>
        <v>0.29512092266663836</v>
      </c>
      <c r="AS30" s="79">
        <f t="shared" si="14"/>
        <v>4.838709677419355</v>
      </c>
      <c r="AT30" s="79">
        <f t="shared" si="15"/>
        <v>39.2875</v>
      </c>
      <c r="AU30" s="79">
        <f t="shared" si="16"/>
        <v>0.06349206349206349</v>
      </c>
      <c r="AV30" s="79">
        <f t="shared" si="17"/>
        <v>0.061538461538461535</v>
      </c>
      <c r="AW30" s="69"/>
      <c r="AX30" s="69"/>
      <c r="AY30" s="69"/>
      <c r="AZ30" s="69">
        <f t="shared" si="18"/>
        <v>2.723642857142857</v>
      </c>
      <c r="BA30" s="111">
        <f t="shared" si="32"/>
        <v>182.980530339226</v>
      </c>
      <c r="BB30" s="111">
        <f t="shared" si="19"/>
        <v>120.10132142857144</v>
      </c>
      <c r="BC30" s="25">
        <f t="shared" si="20"/>
        <v>20.746609717439863</v>
      </c>
      <c r="BD30" s="80">
        <f>(('[1]setup'!$B$13*'[1]setup'!$B$14*'[1]setup'!$B$15)/10^(-S30))*10^6</f>
        <v>40.178507822070344</v>
      </c>
      <c r="BE30" s="74">
        <f t="shared" si="21"/>
        <v>22.747822317223203</v>
      </c>
      <c r="BF30" s="75">
        <f t="shared" si="22"/>
        <v>62.879208910654555</v>
      </c>
      <c r="BG30" s="73">
        <f t="shared" si="23"/>
        <v>183.27565126189262</v>
      </c>
      <c r="BH30" s="73">
        <f t="shared" si="24"/>
        <v>183.02765156786498</v>
      </c>
      <c r="BI30" s="76">
        <f t="shared" si="25"/>
        <v>0.06770337371020119</v>
      </c>
      <c r="BJ30" s="59"/>
      <c r="BK30" s="81">
        <f>(3*('[1]setup'!$D$19*(10^-S30)^3)+2*('[1]setup'!$D$20*'[1]setup'!$D$19*((10^-S30)^2))+('[1]setup'!$D$21*'[1]setup'!$D$19*10^-S30)+('[1]setup'!$D$19*'[1]setup'!$D$22*(AP30/(10^6*2))*(10^-S30)^3))*10^6</f>
        <v>0.0003228247393631449</v>
      </c>
      <c r="BL30" s="82">
        <f t="shared" si="26"/>
        <v>22.99614483599018</v>
      </c>
      <c r="BM30" s="75">
        <f>(BL30/((('[1]setup'!$C$26)/10^-S30)+2*(('[1]setup'!$C$26*'[1]setup'!$C$27)/(10^-S30^2))+3*(('[1]setup'!$C$26*'[1]setup'!$C$27*'[1]setup'!$C$28)/(10^-S30^3))))/(10^-S30^3/(10^-S30^3+'[1]setup'!$C$26*10^-S30^2+'[1]setup'!$C$26*'[1]setup'!$C$27*10^-S30+'[1]setup'!$C$26*'[1]setup'!$C$27*'[1]setup'!$C$28))</f>
        <v>9.076931648166996</v>
      </c>
      <c r="BN30" s="75"/>
      <c r="BO30" s="137">
        <f t="shared" si="27"/>
        <v>182.980530339226</v>
      </c>
      <c r="BP30" s="137">
        <f t="shared" si="28"/>
        <v>120.10132142857144</v>
      </c>
      <c r="BQ30" s="137">
        <f t="shared" si="29"/>
        <v>1.5235513494999393</v>
      </c>
      <c r="BR30" s="137">
        <f t="shared" si="30"/>
        <v>61.94349462494027</v>
      </c>
      <c r="BS30" s="137">
        <f t="shared" si="31"/>
        <v>1.5276540175142113</v>
      </c>
      <c r="BT30" s="69"/>
      <c r="BU30" s="69"/>
    </row>
    <row r="31" spans="1:167" s="118" customFormat="1" ht="12.75">
      <c r="A31" s="104">
        <v>38615</v>
      </c>
      <c r="B31" s="75">
        <v>11.2</v>
      </c>
      <c r="C31" s="24" t="s">
        <v>104</v>
      </c>
      <c r="D31" s="83">
        <v>844246</v>
      </c>
      <c r="E31" s="110"/>
      <c r="F31" s="29">
        <v>0.0159</v>
      </c>
      <c r="G31" s="9">
        <f>G6</f>
        <v>0.002</v>
      </c>
      <c r="H31" s="34">
        <v>0.0565</v>
      </c>
      <c r="I31" s="20">
        <v>3.029</v>
      </c>
      <c r="J31" s="9">
        <f>J6</f>
        <v>0.01</v>
      </c>
      <c r="K31" s="29">
        <v>0.02605</v>
      </c>
      <c r="L31" s="9">
        <v>0.00507</v>
      </c>
      <c r="M31" s="32">
        <v>0.1797</v>
      </c>
      <c r="N31" s="32">
        <v>0.6547</v>
      </c>
      <c r="O31" s="32">
        <v>0.3106</v>
      </c>
      <c r="P31" s="32">
        <v>2.862</v>
      </c>
      <c r="Q31" s="29">
        <v>0.6427</v>
      </c>
      <c r="R31" s="29">
        <v>3.285</v>
      </c>
      <c r="S31" s="5">
        <v>6.46</v>
      </c>
      <c r="T31" s="5">
        <v>17.3</v>
      </c>
      <c r="U31" s="5">
        <v>23.73</v>
      </c>
      <c r="V31" s="9">
        <f>V6</f>
        <v>0.05</v>
      </c>
      <c r="W31" s="20">
        <v>0.7349</v>
      </c>
      <c r="X31" s="9">
        <f>X6</f>
        <v>0.002</v>
      </c>
      <c r="Y31" s="34">
        <v>0.0026</v>
      </c>
      <c r="Z31" s="33">
        <v>4.393</v>
      </c>
      <c r="AA31" s="25"/>
      <c r="AB31" s="25"/>
      <c r="AC31" s="25"/>
      <c r="AD31" s="25"/>
      <c r="AE31" s="106">
        <f t="shared" si="0"/>
        <v>0.5678571428571428</v>
      </c>
      <c r="AF31" s="79">
        <f t="shared" si="1"/>
        <v>0.07272727272727272</v>
      </c>
      <c r="AG31" s="79">
        <f t="shared" si="2"/>
        <v>6.277777777777778</v>
      </c>
      <c r="AH31" s="79">
        <f t="shared" si="3"/>
        <v>432.7142857142857</v>
      </c>
      <c r="AI31" s="79">
        <f t="shared" si="4"/>
        <v>0.7142857142857143</v>
      </c>
      <c r="AJ31" s="79">
        <f t="shared" si="5"/>
        <v>1.8607142857142855</v>
      </c>
      <c r="AK31" s="79">
        <f t="shared" si="6"/>
        <v>0.49064516129032254</v>
      </c>
      <c r="AL31" s="79">
        <f t="shared" si="7"/>
        <v>4.607692307692307</v>
      </c>
      <c r="AM31" s="79">
        <f t="shared" si="8"/>
        <v>32.735</v>
      </c>
      <c r="AN31" s="79">
        <f t="shared" si="9"/>
        <v>25.883333333333333</v>
      </c>
      <c r="AO31" s="79">
        <f t="shared" si="10"/>
        <v>124.43478260869566</v>
      </c>
      <c r="AP31" s="79">
        <f t="shared" si="11"/>
        <v>40.16875</v>
      </c>
      <c r="AQ31" s="79">
        <f t="shared" si="12"/>
        <v>93.85714285714286</v>
      </c>
      <c r="AR31" s="69">
        <f t="shared" si="13"/>
        <v>0.34673685045253166</v>
      </c>
      <c r="AS31" s="79">
        <f t="shared" si="14"/>
        <v>4.838709677419355</v>
      </c>
      <c r="AT31" s="79">
        <f t="shared" si="15"/>
        <v>45.93125</v>
      </c>
      <c r="AU31" s="79">
        <f t="shared" si="16"/>
        <v>0.06349206349206349</v>
      </c>
      <c r="AV31" s="79">
        <f t="shared" si="17"/>
        <v>0.07999999999999999</v>
      </c>
      <c r="AW31" s="69"/>
      <c r="AX31" s="69"/>
      <c r="AY31" s="69"/>
      <c r="AZ31" s="69">
        <f t="shared" si="18"/>
        <v>2.5749999999999997</v>
      </c>
      <c r="BA31" s="111">
        <f t="shared" si="32"/>
        <v>188.37509396400702</v>
      </c>
      <c r="BB31" s="111">
        <f t="shared" si="19"/>
        <v>135.88660714285714</v>
      </c>
      <c r="BC31" s="25">
        <f t="shared" si="20"/>
        <v>16.1870756373574</v>
      </c>
      <c r="BD31" s="80">
        <f>(('[1]setup'!$B$13*'[1]setup'!$B$14*'[1]setup'!$B$15)/10^(-S31))*10^6</f>
        <v>34.19745632557576</v>
      </c>
      <c r="BE31" s="74">
        <f t="shared" si="21"/>
        <v>41.894707811167635</v>
      </c>
      <c r="BF31" s="75">
        <f t="shared" si="22"/>
        <v>52.48848682114985</v>
      </c>
      <c r="BG31" s="73">
        <f t="shared" si="23"/>
        <v>188.72183081445957</v>
      </c>
      <c r="BH31" s="73">
        <f t="shared" si="24"/>
        <v>211.97877127960058</v>
      </c>
      <c r="BI31" s="76">
        <f t="shared" si="25"/>
        <v>5.8040692585936515</v>
      </c>
      <c r="BJ31" s="59"/>
      <c r="BK31" s="81">
        <f>(3*('[1]setup'!$D$19*(10^-S31)^3)+2*('[1]setup'!$D$20*'[1]setup'!$D$19*((10^-S31)^2))+('[1]setup'!$D$21*'[1]setup'!$D$19*10^-S31)+('[1]setup'!$D$19*'[1]setup'!$D$22*(AP31/(10^6*2))*(10^-S31)^3))*10^6</f>
        <v>0.0003943012012499454</v>
      </c>
      <c r="BL31" s="82">
        <f t="shared" si="26"/>
        <v>18.63816164722789</v>
      </c>
      <c r="BM31" s="75">
        <f>(BL31/((('[1]setup'!$C$26)/10^-S31)+2*(('[1]setup'!$C$26*'[1]setup'!$C$27)/(10^-S31^2))+3*(('[1]setup'!$C$26*'[1]setup'!$C$27*'[1]setup'!$C$28)/(10^-S31^3))))/(10^-S31^3/(10^-S31^3+'[1]setup'!$C$26*10^-S31^2+'[1]setup'!$C$26*'[1]setup'!$C$27*10^-S31+'[1]setup'!$C$26*'[1]setup'!$C$27*'[1]setup'!$C$28))</f>
        <v>7.480319170545274</v>
      </c>
      <c r="BN31" s="75"/>
      <c r="BO31" s="137">
        <f t="shared" si="27"/>
        <v>188.37509396400702</v>
      </c>
      <c r="BP31" s="137">
        <f t="shared" si="28"/>
        <v>135.88660714285714</v>
      </c>
      <c r="BQ31" s="137">
        <f t="shared" si="29"/>
        <v>1.3862668141089791</v>
      </c>
      <c r="BR31" s="137">
        <f t="shared" si="30"/>
        <v>51.774201106864155</v>
      </c>
      <c r="BS31" s="137">
        <f t="shared" si="31"/>
        <v>1.3257891602144134</v>
      </c>
      <c r="BT31" s="69"/>
      <c r="BU31" s="12" t="s">
        <v>114</v>
      </c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</row>
    <row r="32" spans="1:164" s="118" customFormat="1" ht="12.75">
      <c r="A32" s="104">
        <v>38643</v>
      </c>
      <c r="B32" s="16"/>
      <c r="C32" s="24" t="s">
        <v>105</v>
      </c>
      <c r="D32" s="8">
        <v>842617</v>
      </c>
      <c r="E32" s="117"/>
      <c r="F32" s="89">
        <v>0.0099</v>
      </c>
      <c r="G32" s="9">
        <f>G6</f>
        <v>0.002</v>
      </c>
      <c r="H32" s="89">
        <v>0.0478</v>
      </c>
      <c r="I32" s="87">
        <v>2.963</v>
      </c>
      <c r="J32" s="10">
        <f>J6</f>
        <v>0.01</v>
      </c>
      <c r="K32" s="86">
        <v>0.03189</v>
      </c>
      <c r="L32" s="10">
        <v>0.00503</v>
      </c>
      <c r="M32" s="87">
        <v>0.1972</v>
      </c>
      <c r="N32" s="87">
        <v>0.4587</v>
      </c>
      <c r="O32" s="87">
        <v>0.3651</v>
      </c>
      <c r="P32" s="87">
        <v>2.643</v>
      </c>
      <c r="Q32" s="86">
        <v>0.6246</v>
      </c>
      <c r="R32" s="86">
        <v>3.04</v>
      </c>
      <c r="S32" s="90">
        <v>6.56</v>
      </c>
      <c r="T32" s="90">
        <v>20.1</v>
      </c>
      <c r="U32" s="90">
        <v>22.514</v>
      </c>
      <c r="V32" s="9">
        <f>V6</f>
        <v>0.05</v>
      </c>
      <c r="W32" s="87">
        <v>0.64</v>
      </c>
      <c r="X32" s="9">
        <f>X6</f>
        <v>0.002</v>
      </c>
      <c r="Y32" s="10">
        <f>Y6</f>
        <v>0.002</v>
      </c>
      <c r="Z32" s="93">
        <v>2.716</v>
      </c>
      <c r="AE32" s="106">
        <f t="shared" si="0"/>
        <v>0.35357142857142865</v>
      </c>
      <c r="AF32" s="79">
        <f t="shared" si="1"/>
        <v>0.07272727272727272</v>
      </c>
      <c r="AG32" s="79">
        <f t="shared" si="2"/>
        <v>5.311111111111112</v>
      </c>
      <c r="AH32" s="79">
        <f t="shared" si="3"/>
        <v>423.28571428571433</v>
      </c>
      <c r="AI32" s="79">
        <f t="shared" si="4"/>
        <v>0.7142857142857143</v>
      </c>
      <c r="AJ32" s="79">
        <f t="shared" si="5"/>
        <v>2.277857142857143</v>
      </c>
      <c r="AK32" s="79">
        <f t="shared" si="6"/>
        <v>0.486774193548387</v>
      </c>
      <c r="AL32" s="79">
        <f t="shared" si="7"/>
        <v>5.056410256410256</v>
      </c>
      <c r="AM32" s="79">
        <f t="shared" si="8"/>
        <v>22.935000000000002</v>
      </c>
      <c r="AN32" s="79">
        <f t="shared" si="9"/>
        <v>30.424999999999997</v>
      </c>
      <c r="AO32" s="79">
        <f t="shared" si="10"/>
        <v>114.91304347826086</v>
      </c>
      <c r="AP32" s="79">
        <f t="shared" si="11"/>
        <v>39.0375</v>
      </c>
      <c r="AQ32" s="79">
        <f t="shared" si="12"/>
        <v>86.85714285714286</v>
      </c>
      <c r="AR32" s="69">
        <f t="shared" si="13"/>
        <v>0.27542287033381685</v>
      </c>
      <c r="AS32" s="79">
        <f t="shared" si="14"/>
        <v>4.838709677419355</v>
      </c>
      <c r="AT32" s="79">
        <f t="shared" si="15"/>
        <v>40</v>
      </c>
      <c r="AU32" s="79">
        <f t="shared" si="16"/>
        <v>0.06349206349206349</v>
      </c>
      <c r="AV32" s="79">
        <f t="shared" si="17"/>
        <v>0.061538461538461535</v>
      </c>
      <c r="AW32" s="69"/>
      <c r="AX32" s="69"/>
      <c r="AY32" s="69"/>
      <c r="AZ32" s="69">
        <f t="shared" si="18"/>
        <v>2.9921428571428574</v>
      </c>
      <c r="BA32" s="111">
        <f t="shared" si="32"/>
        <v>174.04373944895684</v>
      </c>
      <c r="BB32" s="111">
        <f t="shared" si="19"/>
        <v>128.1725</v>
      </c>
      <c r="BC32" s="25">
        <f t="shared" si="20"/>
        <v>15.178284109614932</v>
      </c>
      <c r="BD32" s="80">
        <f>(('[1]setup'!$B$13*'[1]setup'!$B$14*'[1]setup'!$B$15)/10^(-S32))*10^6</f>
        <v>43.05204678698854</v>
      </c>
      <c r="BE32" s="74">
        <f t="shared" si="21"/>
        <v>26.0593404169913</v>
      </c>
      <c r="BF32" s="75">
        <f t="shared" si="22"/>
        <v>45.87123944895686</v>
      </c>
      <c r="BG32" s="73">
        <f t="shared" si="23"/>
        <v>174.31916231929065</v>
      </c>
      <c r="BH32" s="73">
        <f t="shared" si="24"/>
        <v>197.28388720397982</v>
      </c>
      <c r="BI32" s="76">
        <f t="shared" si="25"/>
        <v>6.179907542241811</v>
      </c>
      <c r="BJ32" s="59"/>
      <c r="BK32" s="81">
        <f>(3*('[1]setup'!$D$19*(10^-S32)^3)+2*('[1]setup'!$D$20*'[1]setup'!$D$19*((10^-S32)^2))+('[1]setup'!$D$21*'[1]setup'!$D$19*10^-S32)+('[1]setup'!$D$19*'[1]setup'!$D$22*(AP32/(10^6*2))*(10^-S32)^3))*10^6</f>
        <v>0.00029684537354154785</v>
      </c>
      <c r="BL32" s="82">
        <f t="shared" si="26"/>
        <v>3.0949123776756835</v>
      </c>
      <c r="BM32" s="75">
        <f>(BL32/((('[1]setup'!$C$26)/10^-S32)+2*(('[1]setup'!$C$26*'[1]setup'!$C$27)/(10^-S32^2))+3*(('[1]setup'!$C$26*'[1]setup'!$C$27*'[1]setup'!$C$28)/(10^-S32^3))))/(10^-S32^3/(10^-S32^3+'[1]setup'!$C$26*10^-S32^2+'[1]setup'!$C$26*'[1]setup'!$C$27*10^-S32+'[1]setup'!$C$26*'[1]setup'!$C$27*'[1]setup'!$C$28))</f>
        <v>1.2131257474271946</v>
      </c>
      <c r="BN32" s="75"/>
      <c r="BO32" s="137">
        <f t="shared" si="27"/>
        <v>174.04373944895684</v>
      </c>
      <c r="BP32" s="137">
        <f t="shared" si="28"/>
        <v>128.1725</v>
      </c>
      <c r="BQ32" s="137">
        <f t="shared" si="29"/>
        <v>1.3578867498797076</v>
      </c>
      <c r="BR32" s="137">
        <f t="shared" si="30"/>
        <v>45.156953734671106</v>
      </c>
      <c r="BS32" s="137">
        <f t="shared" si="31"/>
        <v>1.323012013729977</v>
      </c>
      <c r="BT32" s="69"/>
      <c r="BU32" s="69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</row>
    <row r="33" spans="1:162" s="118" customFormat="1" ht="12.75">
      <c r="A33" s="104">
        <v>38657</v>
      </c>
      <c r="B33" s="16">
        <v>11.3</v>
      </c>
      <c r="C33" s="24" t="s">
        <v>105</v>
      </c>
      <c r="D33" s="8">
        <v>843490</v>
      </c>
      <c r="E33" s="117"/>
      <c r="F33" s="89">
        <v>0.0237</v>
      </c>
      <c r="G33" s="9">
        <f>G6</f>
        <v>0.002</v>
      </c>
      <c r="H33" s="89">
        <v>0.0948</v>
      </c>
      <c r="I33" s="87">
        <v>2.747</v>
      </c>
      <c r="J33" s="10">
        <v>0.059</v>
      </c>
      <c r="K33" s="10">
        <v>0.0558</v>
      </c>
      <c r="L33" s="10">
        <v>0.00502</v>
      </c>
      <c r="M33" s="87">
        <v>0.2284</v>
      </c>
      <c r="N33" s="87">
        <v>0.4782</v>
      </c>
      <c r="O33" s="87">
        <v>0.2752</v>
      </c>
      <c r="P33" s="87">
        <v>2.6</v>
      </c>
      <c r="Q33" s="10">
        <v>0.5519</v>
      </c>
      <c r="R33" s="8">
        <v>2.877</v>
      </c>
      <c r="S33" s="90">
        <v>6.37</v>
      </c>
      <c r="T33" s="90">
        <v>18.4</v>
      </c>
      <c r="U33" s="105">
        <v>22.131</v>
      </c>
      <c r="V33" s="9">
        <f>V6</f>
        <v>0.05</v>
      </c>
      <c r="W33" s="87">
        <v>0.6105</v>
      </c>
      <c r="X33" s="9">
        <f>X6</f>
        <v>0.002</v>
      </c>
      <c r="Y33" s="89">
        <v>0.002</v>
      </c>
      <c r="Z33" s="93">
        <v>3.817</v>
      </c>
      <c r="AA33" s="25"/>
      <c r="AB33" s="25"/>
      <c r="AC33" s="25"/>
      <c r="AD33" s="25"/>
      <c r="AE33" s="106">
        <f t="shared" si="0"/>
        <v>0.8464285714285714</v>
      </c>
      <c r="AF33" s="79">
        <f t="shared" si="1"/>
        <v>0.07272727272727272</v>
      </c>
      <c r="AG33" s="79">
        <f t="shared" si="2"/>
        <v>10.533333333333333</v>
      </c>
      <c r="AH33" s="79">
        <f t="shared" si="3"/>
        <v>392.4285714285714</v>
      </c>
      <c r="AI33" s="79">
        <f t="shared" si="4"/>
        <v>4.2142857142857135</v>
      </c>
      <c r="AJ33" s="79">
        <f t="shared" si="5"/>
        <v>3.985714285714286</v>
      </c>
      <c r="AK33" s="79">
        <f t="shared" si="6"/>
        <v>0.48580645161290326</v>
      </c>
      <c r="AL33" s="79">
        <f t="shared" si="7"/>
        <v>5.856410256410256</v>
      </c>
      <c r="AM33" s="79">
        <f t="shared" si="8"/>
        <v>23.91</v>
      </c>
      <c r="AN33" s="79">
        <f t="shared" si="9"/>
        <v>22.933333333333334</v>
      </c>
      <c r="AO33" s="79">
        <f t="shared" si="10"/>
        <v>113.04347826086956</v>
      </c>
      <c r="AP33" s="79">
        <f t="shared" si="11"/>
        <v>34.49375</v>
      </c>
      <c r="AQ33" s="79">
        <f t="shared" si="12"/>
        <v>82.19999999999999</v>
      </c>
      <c r="AR33" s="69">
        <f t="shared" si="13"/>
        <v>0.4265795188015925</v>
      </c>
      <c r="AS33" s="79">
        <f t="shared" si="14"/>
        <v>4.838709677419355</v>
      </c>
      <c r="AT33" s="79">
        <f t="shared" si="15"/>
        <v>38.15625</v>
      </c>
      <c r="AU33" s="79">
        <f t="shared" si="16"/>
        <v>0.06349206349206349</v>
      </c>
      <c r="AV33" s="79">
        <f t="shared" si="17"/>
        <v>0.061538461538461535</v>
      </c>
      <c r="AW33" s="69"/>
      <c r="AX33" s="69"/>
      <c r="AY33" s="69"/>
      <c r="AZ33" s="69">
        <f t="shared" si="18"/>
        <v>8.2</v>
      </c>
      <c r="BA33" s="111">
        <f t="shared" si="32"/>
        <v>169.9575075648989</v>
      </c>
      <c r="BB33" s="111">
        <f t="shared" si="19"/>
        <v>120.67946428571427</v>
      </c>
      <c r="BC33" s="25">
        <f t="shared" si="20"/>
        <v>16.955187416593866</v>
      </c>
      <c r="BD33" s="80">
        <f>(('[1]setup'!$B$13*'[1]setup'!$B$14*'[1]setup'!$B$15)/10^(-S33))*10^6</f>
        <v>27.796736076617005</v>
      </c>
      <c r="BE33" s="74">
        <f t="shared" si="21"/>
        <v>36.17949444493987</v>
      </c>
      <c r="BF33" s="75">
        <f t="shared" si="22"/>
        <v>49.27804327918459</v>
      </c>
      <c r="BG33" s="73">
        <f t="shared" si="23"/>
        <v>170.38408708370045</v>
      </c>
      <c r="BH33" s="73">
        <f t="shared" si="24"/>
        <v>184.65569480727115</v>
      </c>
      <c r="BI33" s="76">
        <f t="shared" si="25"/>
        <v>4.019720733141204</v>
      </c>
      <c r="BJ33" s="59"/>
      <c r="BK33" s="81">
        <f>(3*('[1]setup'!$D$19*(10^-S33)^3)+2*('[1]setup'!$D$20*'[1]setup'!$D$19*((10^-S33)^2))+('[1]setup'!$D$21*'[1]setup'!$D$19*10^-S33)+('[1]setup'!$D$19*'[1]setup'!$D$22*(AP33/(10^6*2))*(10^-S33)^3))*10^6</f>
        <v>0.0005149971249674537</v>
      </c>
      <c r="BL33" s="82">
        <f t="shared" si="26"/>
        <v>21.90840171849416</v>
      </c>
      <c r="BM33" s="75">
        <f>(BL33/((('[1]setup'!$C$26)/10^-S33)+2*(('[1]setup'!$C$26*'[1]setup'!$C$27)/(10^-S33^2))+3*(('[1]setup'!$C$26*'[1]setup'!$C$27*'[1]setup'!$C$28)/(10^-S33^3))))/(10^-S33^3/(10^-S33^3+'[1]setup'!$C$26*10^-S33^2+'[1]setup'!$C$26*'[1]setup'!$C$27*10^-S33+'[1]setup'!$C$26*'[1]setup'!$C$27*'[1]setup'!$C$28))</f>
        <v>8.988348090692792</v>
      </c>
      <c r="BN33" s="75"/>
      <c r="BO33" s="137">
        <f t="shared" si="27"/>
        <v>169.95750756489886</v>
      </c>
      <c r="BP33" s="137">
        <f t="shared" si="28"/>
        <v>120.67946428571427</v>
      </c>
      <c r="BQ33" s="137">
        <f t="shared" si="29"/>
        <v>1.4083382667536253</v>
      </c>
      <c r="BR33" s="137">
        <f t="shared" si="30"/>
        <v>45.06375756489889</v>
      </c>
      <c r="BS33" s="137">
        <f t="shared" si="31"/>
        <v>1.3752247963609439</v>
      </c>
      <c r="BT33" s="69"/>
      <c r="BU33" s="69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</row>
    <row r="34" spans="1:162" s="118" customFormat="1" ht="12.75">
      <c r="A34" s="104">
        <v>38670</v>
      </c>
      <c r="B34" s="16">
        <v>15.5</v>
      </c>
      <c r="C34" s="24" t="s">
        <v>105</v>
      </c>
      <c r="D34" s="8">
        <v>844741</v>
      </c>
      <c r="E34" s="117"/>
      <c r="F34" s="89">
        <v>0.0101</v>
      </c>
      <c r="G34" s="9">
        <f>G6</f>
        <v>0.002</v>
      </c>
      <c r="H34" s="89">
        <v>0.0518</v>
      </c>
      <c r="I34" s="87">
        <v>2.803</v>
      </c>
      <c r="J34" s="10">
        <f>J6</f>
        <v>0.01</v>
      </c>
      <c r="K34" s="86">
        <v>0.025063</v>
      </c>
      <c r="L34" s="10">
        <v>0.00507</v>
      </c>
      <c r="M34" s="87">
        <v>0.1801</v>
      </c>
      <c r="N34" s="87">
        <v>0.442</v>
      </c>
      <c r="O34" s="87">
        <v>0.3032</v>
      </c>
      <c r="P34" s="87">
        <v>2.736</v>
      </c>
      <c r="Q34" s="86">
        <v>0.6297</v>
      </c>
      <c r="R34" s="86">
        <v>3.554</v>
      </c>
      <c r="S34" s="8">
        <v>6.49</v>
      </c>
      <c r="T34" s="8">
        <v>18.5</v>
      </c>
      <c r="U34" s="8">
        <v>22.208</v>
      </c>
      <c r="V34" s="9">
        <f>V6</f>
        <v>0.05</v>
      </c>
      <c r="W34" s="87">
        <v>0.675</v>
      </c>
      <c r="X34" s="89">
        <v>0.002</v>
      </c>
      <c r="Y34" s="89">
        <v>0.0021</v>
      </c>
      <c r="Z34" s="88">
        <v>3.104</v>
      </c>
      <c r="AE34" s="106">
        <f t="shared" si="0"/>
        <v>0.3607142857142857</v>
      </c>
      <c r="AF34" s="79">
        <f t="shared" si="1"/>
        <v>0.07272727272727272</v>
      </c>
      <c r="AG34" s="79">
        <f t="shared" si="2"/>
        <v>5.7555555555555555</v>
      </c>
      <c r="AH34" s="79">
        <f t="shared" si="3"/>
        <v>400.4285714285714</v>
      </c>
      <c r="AI34" s="79">
        <f t="shared" si="4"/>
        <v>0.7142857142857143</v>
      </c>
      <c r="AJ34" s="79">
        <f t="shared" si="5"/>
        <v>1.7902142857142855</v>
      </c>
      <c r="AK34" s="79">
        <f t="shared" si="6"/>
        <v>0.49064516129032254</v>
      </c>
      <c r="AL34" s="79">
        <f t="shared" si="7"/>
        <v>4.617948717948718</v>
      </c>
      <c r="AM34" s="79">
        <f t="shared" si="8"/>
        <v>22.1</v>
      </c>
      <c r="AN34" s="79">
        <f t="shared" si="9"/>
        <v>25.26666666666667</v>
      </c>
      <c r="AO34" s="79">
        <f t="shared" si="10"/>
        <v>118.95652173913045</v>
      </c>
      <c r="AP34" s="79">
        <f t="shared" si="11"/>
        <v>39.35625</v>
      </c>
      <c r="AQ34" s="79">
        <f t="shared" si="12"/>
        <v>101.54285714285714</v>
      </c>
      <c r="AR34" s="69">
        <f t="shared" si="13"/>
        <v>0.32359365692962805</v>
      </c>
      <c r="AS34" s="79">
        <f t="shared" si="14"/>
        <v>4.838709677419355</v>
      </c>
      <c r="AT34" s="79">
        <f t="shared" si="15"/>
        <v>42.1875</v>
      </c>
      <c r="AU34" s="79">
        <f t="shared" si="16"/>
        <v>0.06349206349206349</v>
      </c>
      <c r="AV34" s="79">
        <f t="shared" si="17"/>
        <v>0.06461538461538462</v>
      </c>
      <c r="AW34" s="69"/>
      <c r="AX34" s="69"/>
      <c r="AY34" s="69"/>
      <c r="AZ34" s="69">
        <f t="shared" si="18"/>
        <v>2.5044999999999997</v>
      </c>
      <c r="BA34" s="111">
        <f t="shared" si="32"/>
        <v>171.65542283803157</v>
      </c>
      <c r="BB34" s="111">
        <f t="shared" si="19"/>
        <v>142.68932142857142</v>
      </c>
      <c r="BC34" s="25">
        <f t="shared" si="20"/>
        <v>9.214756072044688</v>
      </c>
      <c r="BD34" s="80">
        <f>(('[1]setup'!$B$13*'[1]setup'!$B$14*'[1]setup'!$B$15)/10^(-S34))*10^6</f>
        <v>36.64323464287438</v>
      </c>
      <c r="BE34" s="74">
        <f t="shared" si="21"/>
        <v>29.658152266516755</v>
      </c>
      <c r="BF34" s="75">
        <f t="shared" si="22"/>
        <v>28.966101409460123</v>
      </c>
      <c r="BG34" s="73">
        <f t="shared" si="23"/>
        <v>171.97901649496117</v>
      </c>
      <c r="BH34" s="73">
        <f t="shared" si="24"/>
        <v>208.99070833796256</v>
      </c>
      <c r="BI34" s="76">
        <f t="shared" si="25"/>
        <v>9.715126801541267</v>
      </c>
      <c r="BJ34" s="59"/>
      <c r="BK34" s="81">
        <f>(3*('[1]setup'!$D$19*(10^-S34)^3)+2*('[1]setup'!$D$20*'[1]setup'!$D$19*((10^-S34)^2))+('[1]setup'!$D$21*'[1]setup'!$D$19*10^-S34)+('[1]setup'!$D$19*'[1]setup'!$D$22*(AP34/(10^6*2))*(10^-S34)^3))*10^6</f>
        <v>0.00036163619269203</v>
      </c>
      <c r="BL34" s="82">
        <f t="shared" si="26"/>
        <v>-7.353177940291943</v>
      </c>
      <c r="BM34" s="75">
        <f>(BL34/((('[1]setup'!$C$26)/10^-S34)+2*(('[1]setup'!$C$26*'[1]setup'!$C$27)/(10^-S34^2))+3*(('[1]setup'!$C$26*'[1]setup'!$C$27*'[1]setup'!$C$28)/(10^-S34^3))))/(10^-S34^3/(10^-S34^3+'[1]setup'!$C$26*10^-S34^2+'[1]setup'!$C$26*'[1]setup'!$C$27*10^-S34+'[1]setup'!$C$26*'[1]setup'!$C$27*'[1]setup'!$C$28))</f>
        <v>-2.929988333790346</v>
      </c>
      <c r="BN34" s="75"/>
      <c r="BO34" s="137">
        <f t="shared" si="27"/>
        <v>171.65542283803154</v>
      </c>
      <c r="BP34" s="137">
        <f t="shared" si="28"/>
        <v>142.68932142857142</v>
      </c>
      <c r="BQ34" s="137">
        <f t="shared" si="29"/>
        <v>1.2030011855088973</v>
      </c>
      <c r="BR34" s="137">
        <f t="shared" si="30"/>
        <v>28.25181569517443</v>
      </c>
      <c r="BS34" s="137">
        <f t="shared" si="31"/>
        <v>1.1714907880893544</v>
      </c>
      <c r="BT34" s="69"/>
      <c r="BU34" s="69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</row>
    <row r="35" spans="1:162" s="118" customFormat="1" ht="12.75">
      <c r="A35" s="104">
        <v>38698</v>
      </c>
      <c r="B35" s="16">
        <v>15.25</v>
      </c>
      <c r="C35" s="24" t="s">
        <v>105</v>
      </c>
      <c r="D35" s="8">
        <v>846915</v>
      </c>
      <c r="E35" s="117"/>
      <c r="F35" s="10">
        <f>F6</f>
        <v>0.006</v>
      </c>
      <c r="G35" s="9">
        <f>G6</f>
        <v>0.002</v>
      </c>
      <c r="H35" s="89">
        <v>0.0371</v>
      </c>
      <c r="I35" s="87">
        <v>2.791</v>
      </c>
      <c r="J35" s="10">
        <v>0.0217</v>
      </c>
      <c r="K35" s="86">
        <v>0.04243</v>
      </c>
      <c r="L35" s="10">
        <v>0.022</v>
      </c>
      <c r="M35" s="87">
        <v>0.2482</v>
      </c>
      <c r="N35" s="87">
        <v>0.4813</v>
      </c>
      <c r="O35" s="87">
        <v>0.2595</v>
      </c>
      <c r="P35" s="87">
        <v>2.768</v>
      </c>
      <c r="Q35" s="86">
        <v>0.6325</v>
      </c>
      <c r="R35" s="86">
        <v>3.397</v>
      </c>
      <c r="S35" s="8">
        <v>6.42</v>
      </c>
      <c r="T35" s="90">
        <v>17.2</v>
      </c>
      <c r="U35" s="90">
        <v>23.226</v>
      </c>
      <c r="V35" s="9">
        <f>V6</f>
        <v>0.05</v>
      </c>
      <c r="W35" s="87">
        <v>0.7023</v>
      </c>
      <c r="X35" s="9">
        <f>X6</f>
        <v>0.002</v>
      </c>
      <c r="Y35" s="10">
        <f>Y6</f>
        <v>0.002</v>
      </c>
      <c r="Z35" s="119">
        <v>1.953</v>
      </c>
      <c r="AA35" s="25"/>
      <c r="AB35" s="25"/>
      <c r="AC35" s="25"/>
      <c r="AD35" s="25"/>
      <c r="AE35" s="106">
        <f t="shared" si="0"/>
        <v>0.2142857142857143</v>
      </c>
      <c r="AF35" s="79">
        <f t="shared" si="1"/>
        <v>0.07272727272727272</v>
      </c>
      <c r="AG35" s="79">
        <f t="shared" si="2"/>
        <v>4.122222222222223</v>
      </c>
      <c r="AH35" s="79">
        <f t="shared" si="3"/>
        <v>398.71428571428567</v>
      </c>
      <c r="AI35" s="79">
        <f t="shared" si="4"/>
        <v>1.55</v>
      </c>
      <c r="AJ35" s="79">
        <f t="shared" si="5"/>
        <v>3.0307142857142857</v>
      </c>
      <c r="AK35" s="79">
        <f t="shared" si="6"/>
        <v>2.129032258064516</v>
      </c>
      <c r="AL35" s="79">
        <f t="shared" si="7"/>
        <v>6.364102564102564</v>
      </c>
      <c r="AM35" s="79">
        <f t="shared" si="8"/>
        <v>24.065</v>
      </c>
      <c r="AN35" s="79">
        <f t="shared" si="9"/>
        <v>21.625000000000004</v>
      </c>
      <c r="AO35" s="79">
        <f t="shared" si="10"/>
        <v>120.34782608695652</v>
      </c>
      <c r="AP35" s="79">
        <f t="shared" si="11"/>
        <v>39.53125</v>
      </c>
      <c r="AQ35" s="79">
        <f t="shared" si="12"/>
        <v>97.05714285714285</v>
      </c>
      <c r="AR35" s="69">
        <f t="shared" si="13"/>
        <v>0.3801893963205612</v>
      </c>
      <c r="AS35" s="79">
        <f t="shared" si="14"/>
        <v>4.838709677419355</v>
      </c>
      <c r="AT35" s="79">
        <f t="shared" si="15"/>
        <v>43.893750000000004</v>
      </c>
      <c r="AU35" s="79">
        <f t="shared" si="16"/>
        <v>0.06349206349206349</v>
      </c>
      <c r="AV35" s="79">
        <f t="shared" si="17"/>
        <v>0.061538461538461535</v>
      </c>
      <c r="AW35" s="69"/>
      <c r="AX35" s="69"/>
      <c r="AY35" s="69"/>
      <c r="AZ35" s="69">
        <f t="shared" si="18"/>
        <v>4.5807142857142855</v>
      </c>
      <c r="BA35" s="111">
        <f t="shared" si="32"/>
        <v>173.9519286510591</v>
      </c>
      <c r="BB35" s="111">
        <f t="shared" si="19"/>
        <v>139.61910714285713</v>
      </c>
      <c r="BC35" s="25">
        <f t="shared" si="20"/>
        <v>10.948977293542516</v>
      </c>
      <c r="BD35" s="80">
        <f>(('[1]setup'!$B$13*'[1]setup'!$B$14*'[1]setup'!$B$15)/10^(-S35))*10^6</f>
        <v>31.188450847325424</v>
      </c>
      <c r="BE35" s="74">
        <f t="shared" si="21"/>
        <v>18.576074738583852</v>
      </c>
      <c r="BF35" s="75">
        <f t="shared" si="22"/>
        <v>34.33282150820196</v>
      </c>
      <c r="BG35" s="73">
        <f t="shared" si="23"/>
        <v>174.33211804737965</v>
      </c>
      <c r="BH35" s="73">
        <f t="shared" si="24"/>
        <v>189.3836327287664</v>
      </c>
      <c r="BI35" s="76">
        <f t="shared" si="25"/>
        <v>4.138263093986935</v>
      </c>
      <c r="BJ35" s="59"/>
      <c r="BK35" s="81">
        <f>(3*('[1]setup'!$D$19*(10^-S35)^3)+2*('[1]setup'!$D$20*'[1]setup'!$D$19*((10^-S35)^2))+('[1]setup'!$D$21*'[1]setup'!$D$19*10^-S35)+('[1]setup'!$D$19*'[1]setup'!$D$22*(AP35/(10^6*2))*(10^-S35)^3))*10^6</f>
        <v>0.00044333548143436324</v>
      </c>
      <c r="BL35" s="82">
        <f t="shared" si="26"/>
        <v>3.525003392678542</v>
      </c>
      <c r="BM35" s="75">
        <f>(BL35/((('[1]setup'!$C$26)/10^-S35)+2*(('[1]setup'!$C$26*'[1]setup'!$C$27)/(10^-S35^2))+3*(('[1]setup'!$C$26*'[1]setup'!$C$27*'[1]setup'!$C$28)/(10^-S35^3))))/(10^-S35^3/(10^-S35^3+'[1]setup'!$C$26*10^-S35^2+'[1]setup'!$C$26*'[1]setup'!$C$27*10^-S35+'[1]setup'!$C$26*'[1]setup'!$C$27*'[1]setup'!$C$28))</f>
        <v>1.4285490589645031</v>
      </c>
      <c r="BN35" s="75"/>
      <c r="BO35" s="137">
        <f t="shared" si="27"/>
        <v>173.9519286510591</v>
      </c>
      <c r="BP35" s="137">
        <f t="shared" si="28"/>
        <v>139.61910714285713</v>
      </c>
      <c r="BQ35" s="137">
        <f t="shared" si="29"/>
        <v>1.245903459854337</v>
      </c>
      <c r="BR35" s="137">
        <f t="shared" si="30"/>
        <v>32.78282150820195</v>
      </c>
      <c r="BS35" s="137">
        <f t="shared" si="31"/>
        <v>1.2399687703984335</v>
      </c>
      <c r="BT35" s="69"/>
      <c r="BU35" s="69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</row>
    <row r="36" spans="1:162" s="118" customFormat="1" ht="12.75">
      <c r="A36" s="104">
        <v>38726</v>
      </c>
      <c r="B36" s="16">
        <v>15.15</v>
      </c>
      <c r="C36" s="24" t="s">
        <v>105</v>
      </c>
      <c r="D36" s="8">
        <v>847594</v>
      </c>
      <c r="E36" s="117"/>
      <c r="F36" s="10">
        <f>F6</f>
        <v>0.006</v>
      </c>
      <c r="G36" s="9">
        <f>G6</f>
        <v>0.002</v>
      </c>
      <c r="H36" s="86">
        <v>0.0243</v>
      </c>
      <c r="I36" s="87">
        <v>3.494</v>
      </c>
      <c r="J36" s="10">
        <f>J6</f>
        <v>0.01</v>
      </c>
      <c r="K36" s="86">
        <v>0.07818</v>
      </c>
      <c r="L36" s="10">
        <v>0.0059</v>
      </c>
      <c r="M36" s="87">
        <v>0.1406</v>
      </c>
      <c r="N36" s="87">
        <v>0.6187</v>
      </c>
      <c r="O36" s="87">
        <v>0.308</v>
      </c>
      <c r="P36" s="87">
        <v>3.123</v>
      </c>
      <c r="Q36" s="86">
        <v>0.749</v>
      </c>
      <c r="R36" s="86">
        <v>3.531</v>
      </c>
      <c r="S36" s="75">
        <v>6.57</v>
      </c>
      <c r="T36" s="24">
        <v>18.1</v>
      </c>
      <c r="U36" s="24">
        <v>24.949</v>
      </c>
      <c r="V36" s="9">
        <f>V6</f>
        <v>0.05</v>
      </c>
      <c r="W36" s="87">
        <v>0.7897</v>
      </c>
      <c r="X36" s="9">
        <f>X6</f>
        <v>0.002</v>
      </c>
      <c r="Y36" s="10">
        <f>Y6</f>
        <v>0.002</v>
      </c>
      <c r="Z36" s="23">
        <v>1.904518356322023</v>
      </c>
      <c r="AA36" s="25"/>
      <c r="AB36" s="25"/>
      <c r="AC36" s="25"/>
      <c r="AD36" s="25"/>
      <c r="AE36" s="106">
        <f t="shared" si="0"/>
        <v>0.2142857142857143</v>
      </c>
      <c r="AF36" s="79">
        <f t="shared" si="1"/>
        <v>0.07272727272727272</v>
      </c>
      <c r="AG36" s="79">
        <f t="shared" si="2"/>
        <v>2.7</v>
      </c>
      <c r="AH36" s="79">
        <f t="shared" si="3"/>
        <v>499.14285714285717</v>
      </c>
      <c r="AI36" s="79">
        <f t="shared" si="4"/>
        <v>0.7142857142857143</v>
      </c>
      <c r="AJ36" s="79">
        <f t="shared" si="5"/>
        <v>5.5842857142857145</v>
      </c>
      <c r="AK36" s="79">
        <f t="shared" si="6"/>
        <v>0.5709677419354839</v>
      </c>
      <c r="AL36" s="79">
        <f t="shared" si="7"/>
        <v>3.605128205128205</v>
      </c>
      <c r="AM36" s="79">
        <f t="shared" si="8"/>
        <v>30.935000000000002</v>
      </c>
      <c r="AN36" s="79">
        <f t="shared" si="9"/>
        <v>25.666666666666668</v>
      </c>
      <c r="AO36" s="79">
        <f t="shared" si="10"/>
        <v>135.7826086956522</v>
      </c>
      <c r="AP36" s="79">
        <f t="shared" si="11"/>
        <v>46.8125</v>
      </c>
      <c r="AQ36" s="79">
        <f t="shared" si="12"/>
        <v>100.88571428571429</v>
      </c>
      <c r="AR36" s="69">
        <f t="shared" si="13"/>
        <v>0.2691534803926914</v>
      </c>
      <c r="AS36" s="79">
        <f t="shared" si="14"/>
        <v>4.838709677419355</v>
      </c>
      <c r="AT36" s="79">
        <f t="shared" si="15"/>
        <v>49.356249999999996</v>
      </c>
      <c r="AU36" s="79">
        <f t="shared" si="16"/>
        <v>0.06349206349206349</v>
      </c>
      <c r="AV36" s="79">
        <f t="shared" si="17"/>
        <v>0.061538461538461535</v>
      </c>
      <c r="AW36" s="69"/>
      <c r="AX36" s="69"/>
      <c r="AY36" s="69"/>
      <c r="AZ36" s="69">
        <f t="shared" si="18"/>
        <v>6.298571428571429</v>
      </c>
      <c r="BA36" s="111">
        <f t="shared" si="32"/>
        <v>196.70368928173278</v>
      </c>
      <c r="BB36" s="111">
        <f t="shared" si="19"/>
        <v>153.2825</v>
      </c>
      <c r="BC36" s="25">
        <f t="shared" si="20"/>
        <v>12.40654363272017</v>
      </c>
      <c r="BD36" s="80">
        <f>(('[1]setup'!$B$13*'[1]setup'!$B$14*'[1]setup'!$B$15)/10^(-S36))*10^6</f>
        <v>44.0548577804686</v>
      </c>
      <c r="BE36" s="74">
        <f t="shared" si="21"/>
        <v>18.283746367309977</v>
      </c>
      <c r="BF36" s="75">
        <f t="shared" si="22"/>
        <v>43.42118928173278</v>
      </c>
      <c r="BG36" s="73">
        <f t="shared" si="23"/>
        <v>196.9728427621255</v>
      </c>
      <c r="BH36" s="73">
        <f t="shared" si="24"/>
        <v>215.62110414777862</v>
      </c>
      <c r="BI36" s="76">
        <f t="shared" si="25"/>
        <v>4.5197612629361315</v>
      </c>
      <c r="BJ36" s="59"/>
      <c r="BK36" s="81">
        <f>(3*('[1]setup'!$D$19*(10^-S36)^3)+2*('[1]setup'!$D$20*'[1]setup'!$D$19*((10^-S36)^2))+('[1]setup'!$D$21*'[1]setup'!$D$19*10^-S36)+('[1]setup'!$D$19*'[1]setup'!$D$22*(AP36/(10^6*2))*(10^-S36)^3))*10^6</f>
        <v>0.00028872882357342943</v>
      </c>
      <c r="BL36" s="82">
        <f t="shared" si="26"/>
        <v>-0.36422628951956426</v>
      </c>
      <c r="BM36" s="75">
        <f>(BL36/((('[1]setup'!$C$26)/10^-S36)+2*(('[1]setup'!$C$26*'[1]setup'!$C$27)/(10^-S36^2))+3*(('[1]setup'!$C$26*'[1]setup'!$C$27*'[1]setup'!$C$28)/(10^-S36^3))))/(10^-S36^3/(10^-S36^3+'[1]setup'!$C$26*10^-S36^2+'[1]setup'!$C$26*'[1]setup'!$C$27*10^-S36+'[1]setup'!$C$26*'[1]setup'!$C$27*'[1]setup'!$C$28))</f>
        <v>-0.1424397376866424</v>
      </c>
      <c r="BN36" s="75"/>
      <c r="BO36" s="137">
        <f t="shared" si="27"/>
        <v>196.70368928173278</v>
      </c>
      <c r="BP36" s="137">
        <f t="shared" si="28"/>
        <v>153.2825</v>
      </c>
      <c r="BQ36" s="137">
        <f t="shared" si="29"/>
        <v>1.2832755812420387</v>
      </c>
      <c r="BR36" s="137">
        <f t="shared" si="30"/>
        <v>42.70690356744706</v>
      </c>
      <c r="BS36" s="137">
        <f t="shared" si="31"/>
        <v>1.3459052122197186</v>
      </c>
      <c r="BT36" s="69"/>
      <c r="BU36" s="69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</row>
    <row r="37" spans="1:162" s="118" customFormat="1" ht="12.75">
      <c r="A37" s="104">
        <v>38754</v>
      </c>
      <c r="B37" s="16">
        <v>16.3</v>
      </c>
      <c r="C37" s="24" t="s">
        <v>105</v>
      </c>
      <c r="D37" s="8">
        <v>850076</v>
      </c>
      <c r="E37" s="117"/>
      <c r="F37" s="89">
        <v>0.0119</v>
      </c>
      <c r="G37" s="9">
        <f>G6</f>
        <v>0.002</v>
      </c>
      <c r="H37" s="89">
        <v>0.0391</v>
      </c>
      <c r="I37" s="87">
        <v>3.109</v>
      </c>
      <c r="J37" s="10">
        <f>J6</f>
        <v>0.01</v>
      </c>
      <c r="K37" s="86">
        <v>0.05924</v>
      </c>
      <c r="L37" s="10">
        <v>0.0055</v>
      </c>
      <c r="M37" s="87">
        <v>0.10006</v>
      </c>
      <c r="N37" s="87">
        <v>0.6293</v>
      </c>
      <c r="O37" s="87">
        <v>0.3278</v>
      </c>
      <c r="P37" s="87">
        <v>3.106</v>
      </c>
      <c r="Q37" s="86">
        <v>0.6599</v>
      </c>
      <c r="R37" s="86">
        <v>3.016</v>
      </c>
      <c r="S37" s="75">
        <v>6.55</v>
      </c>
      <c r="T37" s="24">
        <v>17.5</v>
      </c>
      <c r="U37" s="105">
        <v>23.774</v>
      </c>
      <c r="V37" s="9">
        <f>V6</f>
        <v>0.05</v>
      </c>
      <c r="W37" s="87">
        <v>0.6994</v>
      </c>
      <c r="X37" s="9">
        <f>X6</f>
        <v>0.002</v>
      </c>
      <c r="Y37" s="10">
        <f>Y6</f>
        <v>0.002</v>
      </c>
      <c r="Z37" s="88">
        <v>3.41270469108457</v>
      </c>
      <c r="AA37" s="25"/>
      <c r="AB37" s="25"/>
      <c r="AC37" s="25"/>
      <c r="AD37" s="25"/>
      <c r="AE37" s="106">
        <f t="shared" si="0"/>
        <v>0.42500000000000004</v>
      </c>
      <c r="AF37" s="79">
        <f t="shared" si="1"/>
        <v>0.07272727272727272</v>
      </c>
      <c r="AG37" s="79">
        <f t="shared" si="2"/>
        <v>4.344444444444445</v>
      </c>
      <c r="AH37" s="79">
        <f t="shared" si="3"/>
        <v>444.1428571428571</v>
      </c>
      <c r="AI37" s="79">
        <f t="shared" si="4"/>
        <v>0.7142857142857143</v>
      </c>
      <c r="AJ37" s="79">
        <f t="shared" si="5"/>
        <v>4.231428571428571</v>
      </c>
      <c r="AK37" s="79">
        <f t="shared" si="6"/>
        <v>0.532258064516129</v>
      </c>
      <c r="AL37" s="79">
        <f t="shared" si="7"/>
        <v>2.565641025641025</v>
      </c>
      <c r="AM37" s="79">
        <f t="shared" si="8"/>
        <v>31.465</v>
      </c>
      <c r="AN37" s="79">
        <f t="shared" si="9"/>
        <v>27.316666666666666</v>
      </c>
      <c r="AO37" s="79">
        <f t="shared" si="10"/>
        <v>135.04347826086956</v>
      </c>
      <c r="AP37" s="79">
        <f t="shared" si="11"/>
        <v>41.243750000000006</v>
      </c>
      <c r="AQ37" s="79">
        <f t="shared" si="12"/>
        <v>86.17142857142856</v>
      </c>
      <c r="AR37" s="69">
        <f t="shared" si="13"/>
        <v>0.2818382931264455</v>
      </c>
      <c r="AS37" s="79">
        <f t="shared" si="14"/>
        <v>4.838709677419355</v>
      </c>
      <c r="AT37" s="79">
        <f t="shared" si="15"/>
        <v>43.7125</v>
      </c>
      <c r="AU37" s="79">
        <f t="shared" si="16"/>
        <v>0.06349206349206349</v>
      </c>
      <c r="AV37" s="79">
        <f t="shared" si="17"/>
        <v>0.061538461538461535</v>
      </c>
      <c r="AW37" s="69"/>
      <c r="AX37" s="69"/>
      <c r="AY37" s="69"/>
      <c r="AZ37" s="69">
        <f t="shared" si="18"/>
        <v>4.945714285714286</v>
      </c>
      <c r="BA37" s="111">
        <f t="shared" si="32"/>
        <v>197.105071667463</v>
      </c>
      <c r="BB37" s="111">
        <f t="shared" si="19"/>
        <v>131.64660714285714</v>
      </c>
      <c r="BC37" s="25">
        <f t="shared" si="20"/>
        <v>19.91121832791413</v>
      </c>
      <c r="BD37" s="80">
        <f>(('[1]setup'!$B$13*'[1]setup'!$B$14*'[1]setup'!$B$15)/10^(-S37))*10^6</f>
        <v>42.07206255857623</v>
      </c>
      <c r="BE37" s="74">
        <f t="shared" si="21"/>
        <v>32.72524884123312</v>
      </c>
      <c r="BF37" s="75">
        <f t="shared" si="22"/>
        <v>65.45846452460583</v>
      </c>
      <c r="BG37" s="73">
        <f t="shared" si="23"/>
        <v>197.3869099605894</v>
      </c>
      <c r="BH37" s="73">
        <f t="shared" si="24"/>
        <v>206.44391854266647</v>
      </c>
      <c r="BI37" s="76">
        <f t="shared" si="25"/>
        <v>2.242772949169243</v>
      </c>
      <c r="BJ37" s="59"/>
      <c r="BK37" s="81">
        <f>(3*('[1]setup'!$D$19*(10^-S37)^3)+2*('[1]setup'!$D$20*'[1]setup'!$D$19*((10^-S37)^2))+('[1]setup'!$D$21*'[1]setup'!$D$19*10^-S37)+('[1]setup'!$D$19*'[1]setup'!$D$22*(AP37/(10^6*2))*(10^-S37)^3))*10^6</f>
        <v>0.0003052322629404817</v>
      </c>
      <c r="BL37" s="82">
        <f t="shared" si="26"/>
        <v>23.668545491418996</v>
      </c>
      <c r="BM37" s="75">
        <f>(BL37/((('[1]setup'!$C$26)/10^-S37)+2*(('[1]setup'!$C$26*'[1]setup'!$C$27)/(10^-S37^2))+3*(('[1]setup'!$C$26*'[1]setup'!$C$27*'[1]setup'!$C$28)/(10^-S37^3))))/(10^-S37^3/(10^-S37^3+'[1]setup'!$C$26*10^-S37^2+'[1]setup'!$C$26*'[1]setup'!$C$27*10^-S37+'[1]setup'!$C$26*'[1]setup'!$C$27*'[1]setup'!$C$28))</f>
        <v>9.298917276157328</v>
      </c>
      <c r="BN37" s="75"/>
      <c r="BO37" s="137">
        <f t="shared" si="27"/>
        <v>197.10507166746297</v>
      </c>
      <c r="BP37" s="137">
        <f t="shared" si="28"/>
        <v>131.64660714285714</v>
      </c>
      <c r="BQ37" s="137">
        <f t="shared" si="29"/>
        <v>1.4972286483127755</v>
      </c>
      <c r="BR37" s="137">
        <f t="shared" si="30"/>
        <v>64.74417881032014</v>
      </c>
      <c r="BS37" s="137">
        <f t="shared" si="31"/>
        <v>1.567149117748818</v>
      </c>
      <c r="BT37" s="69"/>
      <c r="BU37" s="69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</row>
    <row r="38" spans="1:162" s="132" customFormat="1" ht="12.75">
      <c r="A38" s="104">
        <v>38810</v>
      </c>
      <c r="B38" s="16">
        <v>12.3</v>
      </c>
      <c r="C38" s="24" t="s">
        <v>105</v>
      </c>
      <c r="D38" s="8">
        <v>855670</v>
      </c>
      <c r="E38" s="117"/>
      <c r="F38" s="89">
        <v>0.0098</v>
      </c>
      <c r="G38" s="9">
        <f>G6</f>
        <v>0.002</v>
      </c>
      <c r="H38" s="89">
        <v>0.0594</v>
      </c>
      <c r="I38" s="87">
        <v>2.429</v>
      </c>
      <c r="J38" s="10">
        <v>0.0253</v>
      </c>
      <c r="K38" s="86">
        <v>0.05104</v>
      </c>
      <c r="L38" s="10">
        <v>0.00505</v>
      </c>
      <c r="M38" s="87">
        <v>0.1555</v>
      </c>
      <c r="N38" s="87">
        <v>0.4817</v>
      </c>
      <c r="O38" s="87">
        <v>0.2166</v>
      </c>
      <c r="P38" s="87">
        <v>2.519</v>
      </c>
      <c r="Q38" s="86">
        <v>0.582</v>
      </c>
      <c r="R38" s="86">
        <v>2.888</v>
      </c>
      <c r="S38" s="23">
        <v>6.3</v>
      </c>
      <c r="T38" s="8">
        <v>17.4</v>
      </c>
      <c r="U38" s="10">
        <v>20.936</v>
      </c>
      <c r="V38" s="9">
        <f>V6</f>
        <v>0.05</v>
      </c>
      <c r="W38" s="87">
        <v>0.6763</v>
      </c>
      <c r="X38" s="9">
        <f>X6</f>
        <v>0.002</v>
      </c>
      <c r="Y38" s="89">
        <v>0.0022</v>
      </c>
      <c r="Z38" s="88">
        <v>2.859</v>
      </c>
      <c r="AA38" s="25"/>
      <c r="AB38" s="25"/>
      <c r="AC38" s="25"/>
      <c r="AD38" s="25"/>
      <c r="AE38" s="106">
        <f t="shared" si="0"/>
        <v>0.35</v>
      </c>
      <c r="AF38" s="79">
        <f t="shared" si="1"/>
        <v>0.07272727272727272</v>
      </c>
      <c r="AG38" s="79">
        <f t="shared" si="2"/>
        <v>6.6</v>
      </c>
      <c r="AH38" s="79">
        <f t="shared" si="3"/>
        <v>347</v>
      </c>
      <c r="AI38" s="79">
        <f t="shared" si="4"/>
        <v>1.8071428571428572</v>
      </c>
      <c r="AJ38" s="79">
        <f t="shared" si="5"/>
        <v>3.645714285714286</v>
      </c>
      <c r="AK38" s="79">
        <f t="shared" si="6"/>
        <v>0.4887096774193548</v>
      </c>
      <c r="AL38" s="79">
        <f t="shared" si="7"/>
        <v>3.9871794871794872</v>
      </c>
      <c r="AM38" s="79">
        <f t="shared" si="8"/>
        <v>24.085</v>
      </c>
      <c r="AN38" s="79">
        <f t="shared" si="9"/>
        <v>18.05</v>
      </c>
      <c r="AO38" s="79">
        <f t="shared" si="10"/>
        <v>109.5217391304348</v>
      </c>
      <c r="AP38" s="79">
        <f t="shared" si="11"/>
        <v>36.375</v>
      </c>
      <c r="AQ38" s="79">
        <f t="shared" si="12"/>
        <v>82.5142857142857</v>
      </c>
      <c r="AR38" s="69">
        <f t="shared" si="13"/>
        <v>0.5011872336272725</v>
      </c>
      <c r="AS38" s="79">
        <f t="shared" si="14"/>
        <v>4.838709677419355</v>
      </c>
      <c r="AT38" s="79">
        <f t="shared" si="15"/>
        <v>42.268750000000004</v>
      </c>
      <c r="AU38" s="79">
        <f t="shared" si="16"/>
        <v>0.06349206349206349</v>
      </c>
      <c r="AV38" s="79">
        <f t="shared" si="17"/>
        <v>0.06769230769230769</v>
      </c>
      <c r="AW38" s="69"/>
      <c r="AX38" s="69"/>
      <c r="AY38" s="69"/>
      <c r="AZ38" s="69">
        <f t="shared" si="18"/>
        <v>5.452857142857143</v>
      </c>
      <c r="BA38" s="111">
        <f t="shared" si="32"/>
        <v>157.45106147475715</v>
      </c>
      <c r="BB38" s="111">
        <f t="shared" si="19"/>
        <v>122.535</v>
      </c>
      <c r="BC38" s="25">
        <f t="shared" si="20"/>
        <v>12.470642749444547</v>
      </c>
      <c r="BD38" s="80">
        <f>(('[1]setup'!$B$13*'[1]setup'!$B$14*'[1]setup'!$B$15)/10^(-S38))*10^6</f>
        <v>23.658859412680997</v>
      </c>
      <c r="BE38" s="74">
        <f t="shared" si="21"/>
        <v>26.95779619603738</v>
      </c>
      <c r="BF38" s="75">
        <f t="shared" si="22"/>
        <v>34.91606147475713</v>
      </c>
      <c r="BG38" s="73">
        <f t="shared" si="23"/>
        <v>157.9522487083844</v>
      </c>
      <c r="BH38" s="73">
        <f t="shared" si="24"/>
        <v>173.1516556087184</v>
      </c>
      <c r="BI38" s="76">
        <f t="shared" si="25"/>
        <v>4.590524817785693</v>
      </c>
      <c r="BJ38" s="59"/>
      <c r="BK38" s="81">
        <f>(3*('[1]setup'!$D$19*(10^-S38)^3)+2*('[1]setup'!$D$20*'[1]setup'!$D$19*((10^-S38)^2))+('[1]setup'!$D$21*'[1]setup'!$D$19*10^-S38)+('[1]setup'!$D$19*'[1]setup'!$D$22*(AP38/(10^6*2))*(10^-S38)^3))*10^6</f>
        <v>0.0006396597080776176</v>
      </c>
      <c r="BL38" s="82">
        <f t="shared" si="26"/>
        <v>11.75902895541148</v>
      </c>
      <c r="BM38" s="75">
        <f>(BL38/((('[1]setup'!$C$26)/10^-S38)+2*(('[1]setup'!$C$26*'[1]setup'!$C$27)/(10^-S38^2))+3*(('[1]setup'!$C$26*'[1]setup'!$C$27*'[1]setup'!$C$28)/(10^-S38^3))))/(10^-S38^3/(10^-S38^3+'[1]setup'!$C$26*10^-S38^2+'[1]setup'!$C$26*'[1]setup'!$C$27*10^-S38+'[1]setup'!$C$26*'[1]setup'!$C$27*'[1]setup'!$C$28))</f>
        <v>4.908729680249896</v>
      </c>
      <c r="BN38" s="75"/>
      <c r="BO38" s="137">
        <f t="shared" si="27"/>
        <v>157.45106147475713</v>
      </c>
      <c r="BP38" s="137">
        <f t="shared" si="28"/>
        <v>122.535</v>
      </c>
      <c r="BQ38" s="137">
        <f t="shared" si="29"/>
        <v>1.2849476596462817</v>
      </c>
      <c r="BR38" s="137">
        <f t="shared" si="30"/>
        <v>33.10891861761431</v>
      </c>
      <c r="BS38" s="137">
        <f t="shared" si="31"/>
        <v>1.327306395278815</v>
      </c>
      <c r="BT38" s="69"/>
      <c r="BU38" s="69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</row>
    <row r="39" spans="1:73" ht="12.75">
      <c r="A39" s="26">
        <v>38825</v>
      </c>
      <c r="B39" s="16">
        <v>17</v>
      </c>
      <c r="C39" s="5" t="s">
        <v>105</v>
      </c>
      <c r="D39" s="1">
        <v>856290</v>
      </c>
      <c r="E39" s="120"/>
      <c r="F39" s="34">
        <v>0.0073</v>
      </c>
      <c r="G39" s="9">
        <f>G6</f>
        <v>0.002</v>
      </c>
      <c r="H39" s="34">
        <v>0.0534</v>
      </c>
      <c r="I39" s="32">
        <v>2.3</v>
      </c>
      <c r="J39" s="9">
        <f>J6</f>
        <v>0.01</v>
      </c>
      <c r="K39" s="29">
        <v>0.0354</v>
      </c>
      <c r="L39" s="9">
        <f>L6</f>
        <v>0.005</v>
      </c>
      <c r="M39" s="32">
        <v>0.1586</v>
      </c>
      <c r="N39" s="32">
        <v>0.4997</v>
      </c>
      <c r="O39" s="32">
        <v>0.3024</v>
      </c>
      <c r="P39" s="32">
        <v>2.492</v>
      </c>
      <c r="Q39" s="29">
        <v>0.5502</v>
      </c>
      <c r="R39" s="29">
        <v>2.78</v>
      </c>
      <c r="S39" s="1">
        <v>6.44</v>
      </c>
      <c r="T39" s="1">
        <v>19.8</v>
      </c>
      <c r="U39" s="16">
        <v>20.851</v>
      </c>
      <c r="V39" s="9">
        <f>V6</f>
        <v>0.05</v>
      </c>
      <c r="W39" s="32">
        <v>0.5117</v>
      </c>
      <c r="X39" s="9">
        <f>X6</f>
        <v>0.002</v>
      </c>
      <c r="Y39" s="9">
        <f>Y6</f>
        <v>0.002</v>
      </c>
      <c r="Z39" s="94">
        <v>2.417</v>
      </c>
      <c r="AB39"/>
      <c r="AE39" s="106">
        <f t="shared" si="0"/>
        <v>0.26071428571428573</v>
      </c>
      <c r="AF39" s="79">
        <f t="shared" si="1"/>
        <v>0.07272727272727272</v>
      </c>
      <c r="AG39" s="79">
        <f t="shared" si="2"/>
        <v>5.933333333333334</v>
      </c>
      <c r="AH39" s="79">
        <f t="shared" si="3"/>
        <v>328.57142857142856</v>
      </c>
      <c r="AI39" s="79">
        <f t="shared" si="4"/>
        <v>0.7142857142857143</v>
      </c>
      <c r="AJ39" s="79">
        <f t="shared" si="5"/>
        <v>2.5285714285714285</v>
      </c>
      <c r="AK39" s="79">
        <f t="shared" si="6"/>
        <v>0.4838709677419355</v>
      </c>
      <c r="AL39" s="79">
        <f t="shared" si="7"/>
        <v>4.066666666666666</v>
      </c>
      <c r="AM39" s="79">
        <f t="shared" si="8"/>
        <v>24.985</v>
      </c>
      <c r="AN39" s="79">
        <f t="shared" si="9"/>
        <v>25.2</v>
      </c>
      <c r="AO39" s="79">
        <f t="shared" si="10"/>
        <v>108.34782608695652</v>
      </c>
      <c r="AP39" s="79">
        <f t="shared" si="11"/>
        <v>34.3875</v>
      </c>
      <c r="AQ39" s="79">
        <f t="shared" si="12"/>
        <v>79.42857142857142</v>
      </c>
      <c r="AR39" s="69">
        <f t="shared" si="13"/>
        <v>0.363078054770101</v>
      </c>
      <c r="AS39" s="79">
        <f t="shared" si="14"/>
        <v>4.838709677419355</v>
      </c>
      <c r="AT39" s="79">
        <f t="shared" si="15"/>
        <v>31.981250000000003</v>
      </c>
      <c r="AU39" s="79">
        <f t="shared" si="16"/>
        <v>0.06349206349206349</v>
      </c>
      <c r="AV39" s="79">
        <f t="shared" si="17"/>
        <v>0.061538461538461535</v>
      </c>
      <c r="AW39" s="69"/>
      <c r="AX39" s="69"/>
      <c r="AY39" s="69"/>
      <c r="AZ39" s="69">
        <f t="shared" si="18"/>
        <v>3.242857142857143</v>
      </c>
      <c r="BA39" s="111">
        <f t="shared" si="32"/>
        <v>163.3137784679089</v>
      </c>
      <c r="BB39" s="111">
        <f t="shared" si="19"/>
        <v>116.34464285714284</v>
      </c>
      <c r="BC39" s="25">
        <f t="shared" si="20"/>
        <v>16.795180130182104</v>
      </c>
      <c r="BD39" s="80">
        <f>(('[1]setup'!$B$13*'[1]setup'!$B$14*'[1]setup'!$B$15)/10^(-S39))*10^6</f>
        <v>32.658317251716774</v>
      </c>
      <c r="BE39" s="74">
        <f t="shared" si="21"/>
        <v>23.020158675458017</v>
      </c>
      <c r="BF39" s="75">
        <f t="shared" si="22"/>
        <v>46.969135610766045</v>
      </c>
      <c r="BG39" s="73">
        <f t="shared" si="23"/>
        <v>163.676856522679</v>
      </c>
      <c r="BH39" s="73">
        <f t="shared" si="24"/>
        <v>172.02311878431763</v>
      </c>
      <c r="BI39" s="76">
        <f t="shared" si="25"/>
        <v>2.4862266534294486</v>
      </c>
      <c r="BJ39" s="59"/>
      <c r="BK39" s="81">
        <f>(3*('[1]setup'!$D$19*(10^-S39)^3)+2*('[1]setup'!$D$20*'[1]setup'!$D$19*((10^-S39)^2))+('[1]setup'!$D$21*'[1]setup'!$D$19*10^-S39)+('[1]setup'!$D$19*'[1]setup'!$D$22*(AP39/(10^6*2))*(10^-S39)^3))*10^6</f>
        <v>0.0004179707890650578</v>
      </c>
      <c r="BL39" s="82">
        <f t="shared" si="26"/>
        <v>14.674314384608465</v>
      </c>
      <c r="BM39" s="75">
        <f>(BL39/((('[1]setup'!$C$26)/10^-S39)+2*(('[1]setup'!$C$26*'[1]setup'!$C$27)/(10^-S39^2))+3*(('[1]setup'!$C$26*'[1]setup'!$C$27*'[1]setup'!$C$28)/(10^-S39^3))))/(10^-S39^3/(10^-S39^3+'[1]setup'!$C$26*10^-S39^2+'[1]setup'!$C$26*'[1]setup'!$C$27*10^-S39+'[1]setup'!$C$26*'[1]setup'!$C$27*'[1]setup'!$C$28))</f>
        <v>5.918037692324262</v>
      </c>
      <c r="BN39" s="75"/>
      <c r="BO39" s="137">
        <f t="shared" si="27"/>
        <v>163.3137784679089</v>
      </c>
      <c r="BP39" s="137">
        <f t="shared" si="28"/>
        <v>116.34464285714284</v>
      </c>
      <c r="BQ39" s="137">
        <f t="shared" si="29"/>
        <v>1.4037069043947168</v>
      </c>
      <c r="BR39" s="137">
        <f t="shared" si="30"/>
        <v>46.25484989648032</v>
      </c>
      <c r="BS39" s="137">
        <f t="shared" si="31"/>
        <v>1.3640913356271507</v>
      </c>
      <c r="BT39" s="69"/>
      <c r="BU39" s="69"/>
    </row>
    <row r="40" spans="1:162" s="132" customFormat="1" ht="12.75">
      <c r="A40" s="104">
        <v>38840</v>
      </c>
      <c r="B40" s="20">
        <v>15.3</v>
      </c>
      <c r="C40" s="24" t="s">
        <v>90</v>
      </c>
      <c r="D40" s="1">
        <v>857899</v>
      </c>
      <c r="E40" s="110"/>
      <c r="F40" s="34">
        <v>0.0127</v>
      </c>
      <c r="G40" s="9">
        <f>G6</f>
        <v>0.002</v>
      </c>
      <c r="H40" s="34">
        <v>0.0728</v>
      </c>
      <c r="I40" s="32">
        <v>2.018</v>
      </c>
      <c r="J40" s="8">
        <v>0.206</v>
      </c>
      <c r="K40" s="29">
        <v>0.05042</v>
      </c>
      <c r="L40" s="1">
        <v>0.005</v>
      </c>
      <c r="M40" s="32">
        <v>0.1971</v>
      </c>
      <c r="N40" s="32">
        <v>0.4368</v>
      </c>
      <c r="O40" s="32">
        <v>0.3038</v>
      </c>
      <c r="P40" s="32">
        <v>2.297</v>
      </c>
      <c r="Q40" s="29">
        <v>0.477</v>
      </c>
      <c r="R40" s="29">
        <v>2.509</v>
      </c>
      <c r="S40" s="8">
        <v>6.09</v>
      </c>
      <c r="T40" s="8">
        <v>16.6</v>
      </c>
      <c r="U40" s="8">
        <v>17.764</v>
      </c>
      <c r="V40" s="9">
        <f>V6</f>
        <v>0.05</v>
      </c>
      <c r="W40" s="32">
        <v>0.438</v>
      </c>
      <c r="X40" s="9">
        <f>X6</f>
        <v>0.002</v>
      </c>
      <c r="Y40" s="4">
        <f>Y6</f>
        <v>0.002</v>
      </c>
      <c r="Z40" s="33">
        <v>3.719</v>
      </c>
      <c r="AA40"/>
      <c r="AB40"/>
      <c r="AC40"/>
      <c r="AD40"/>
      <c r="AE40" s="106">
        <f t="shared" si="0"/>
        <v>0.45357142857142857</v>
      </c>
      <c r="AF40" s="79">
        <f t="shared" si="1"/>
        <v>0.07272727272727272</v>
      </c>
      <c r="AG40" s="79">
        <f t="shared" si="2"/>
        <v>8.088888888888889</v>
      </c>
      <c r="AH40" s="79">
        <f t="shared" si="3"/>
        <v>288.2857142857143</v>
      </c>
      <c r="AI40" s="79">
        <f t="shared" si="4"/>
        <v>14.714285714285714</v>
      </c>
      <c r="AJ40" s="79">
        <f t="shared" si="5"/>
        <v>3.6014285714285714</v>
      </c>
      <c r="AK40" s="79">
        <f t="shared" si="6"/>
        <v>0.4838709677419355</v>
      </c>
      <c r="AL40" s="79">
        <f t="shared" si="7"/>
        <v>5.053846153846154</v>
      </c>
      <c r="AM40" s="79">
        <f t="shared" si="8"/>
        <v>21.840000000000003</v>
      </c>
      <c r="AN40" s="79">
        <f t="shared" si="9"/>
        <v>25.316666666666666</v>
      </c>
      <c r="AO40" s="79">
        <f t="shared" si="10"/>
        <v>99.86956521739131</v>
      </c>
      <c r="AP40" s="79">
        <f t="shared" si="11"/>
        <v>29.8125</v>
      </c>
      <c r="AQ40" s="79">
        <f t="shared" si="12"/>
        <v>71.68571428571428</v>
      </c>
      <c r="AR40" s="69">
        <f t="shared" si="13"/>
        <v>0.8128305161640995</v>
      </c>
      <c r="AS40" s="79">
        <f t="shared" si="14"/>
        <v>4.838709677419355</v>
      </c>
      <c r="AT40" s="79">
        <f t="shared" si="15"/>
        <v>27.375</v>
      </c>
      <c r="AU40" s="79">
        <f t="shared" si="16"/>
        <v>0.06349206349206349</v>
      </c>
      <c r="AV40" s="79">
        <f t="shared" si="17"/>
        <v>0.061538461538461535</v>
      </c>
      <c r="AW40" s="69"/>
      <c r="AX40" s="69"/>
      <c r="AY40" s="69"/>
      <c r="AZ40" s="69">
        <f t="shared" si="18"/>
        <v>18.315714285714286</v>
      </c>
      <c r="BA40" s="111">
        <f>AL40+AM40+AN40+AO40+AI40</f>
        <v>166.79436375218984</v>
      </c>
      <c r="BB40" s="111">
        <f>AJ40+AP40+AQ40</f>
        <v>105.09964285714285</v>
      </c>
      <c r="BC40" s="25">
        <f>ABS(BA40-BB40)/(BA40+BB40)*100</f>
        <v>22.690724839585094</v>
      </c>
      <c r="BD40" s="80">
        <f>(('[1]setup'!$B$13*'[1]setup'!$B$14*'[1]setup'!$B$15)/10^(-S40))*10^6</f>
        <v>14.587934463602588</v>
      </c>
      <c r="BE40" s="74">
        <f t="shared" si="21"/>
        <v>34.42651470757052</v>
      </c>
      <c r="BF40" s="75">
        <f>(AM40+AN40+AO40+AL40+AI40)-(AP40+AQ40+AJ40)</f>
        <v>61.69472089504701</v>
      </c>
      <c r="BG40" s="73">
        <f>(AM40+AN40+AO40+AL40+AI40)+((10^-S40)*10^6)</f>
        <v>167.60719426835396</v>
      </c>
      <c r="BH40" s="73">
        <f>(AP40+AQ40+AJ40+BE40+BD40)</f>
        <v>154.11409202831595</v>
      </c>
      <c r="BI40" s="76">
        <f>ABS(BG40-BH40)/(BG40+BH40)*100</f>
        <v>4.194034655075814</v>
      </c>
      <c r="BJ40" s="59"/>
      <c r="BK40" s="81">
        <f>(3*('[1]setup'!$D$19*(10^-S40)^3)+2*('[1]setup'!$D$20*'[1]setup'!$D$19*((10^-S40)^2))+('[1]setup'!$D$21*'[1]setup'!$D$19*10^-S40)+('[1]setup'!$D$19*'[1]setup'!$D$22*(AP40/(10^6*2))*(10^-S40)^3))*10^6</f>
        <v>0.0013010464283571715</v>
      </c>
      <c r="BL40" s="82">
        <f>(AM40+AN40+AO40+AL40+AI40+(10^-S40)*10^6+BK40)-(AP40+AQ40+AJ40+BD40)</f>
        <v>47.92091799403687</v>
      </c>
      <c r="BM40" s="75">
        <f>(BL40/((('[1]setup'!$C$26)/10^-S40)+2*(('[1]setup'!$C$26*'[1]setup'!$C$27)/(10^-S40^2))+3*(('[1]setup'!$C$26*'[1]setup'!$C$27*'[1]setup'!$C$28)/(10^-S40^3))))/(10^-S40^3/(10^-S40^3+'[1]setup'!$C$26*10^-S40^2+'[1]setup'!$C$26*'[1]setup'!$C$27*10^-S40+'[1]setup'!$C$26*'[1]setup'!$C$27*'[1]setup'!$C$28))</f>
        <v>21.0598014661405</v>
      </c>
      <c r="BN40" s="75"/>
      <c r="BO40" s="137">
        <f t="shared" si="27"/>
        <v>166.79436375218984</v>
      </c>
      <c r="BP40" s="137">
        <f t="shared" si="28"/>
        <v>105.09964285714285</v>
      </c>
      <c r="BQ40" s="137">
        <f t="shared" si="29"/>
        <v>1.5870117082976751</v>
      </c>
      <c r="BR40" s="137">
        <f t="shared" si="30"/>
        <v>46.98043518076126</v>
      </c>
      <c r="BS40" s="137">
        <f t="shared" si="31"/>
        <v>1.39315854229123</v>
      </c>
      <c r="BT40" s="69"/>
      <c r="BU40" s="69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</row>
    <row r="41" spans="1:162" s="132" customFormat="1" ht="12.75">
      <c r="A41" s="104">
        <v>38852</v>
      </c>
      <c r="B41" s="20">
        <v>18</v>
      </c>
      <c r="C41" s="5" t="s">
        <v>90</v>
      </c>
      <c r="D41" s="1">
        <v>859369</v>
      </c>
      <c r="E41" s="110"/>
      <c r="F41" s="9">
        <f>F6</f>
        <v>0.006</v>
      </c>
      <c r="G41" s="9">
        <f>G6</f>
        <v>0.002</v>
      </c>
      <c r="H41" s="34">
        <v>0.0237</v>
      </c>
      <c r="I41" s="32">
        <v>2.697</v>
      </c>
      <c r="J41" s="9">
        <f>J6</f>
        <v>0.01</v>
      </c>
      <c r="K41" s="29">
        <v>0.03898</v>
      </c>
      <c r="L41" s="1">
        <v>0.005</v>
      </c>
      <c r="M41" s="32">
        <v>0.10001</v>
      </c>
      <c r="N41" s="32">
        <v>0.5703</v>
      </c>
      <c r="O41" s="32">
        <v>0.299</v>
      </c>
      <c r="P41" s="32">
        <v>2.455</v>
      </c>
      <c r="Q41" s="29">
        <v>0.6194</v>
      </c>
      <c r="R41" s="29">
        <v>2.645</v>
      </c>
      <c r="S41" s="20">
        <v>6.58</v>
      </c>
      <c r="T41" s="5">
        <v>17.2</v>
      </c>
      <c r="U41" s="5">
        <v>20.659</v>
      </c>
      <c r="V41" s="9">
        <f>V6</f>
        <v>0.05</v>
      </c>
      <c r="W41" s="16">
        <v>0.6546</v>
      </c>
      <c r="X41" s="9">
        <f>X6</f>
        <v>0.002</v>
      </c>
      <c r="Y41" s="9">
        <f>Y6</f>
        <v>0.002</v>
      </c>
      <c r="Z41" s="33">
        <v>1.458</v>
      </c>
      <c r="AA41"/>
      <c r="AB41"/>
      <c r="AC41"/>
      <c r="AD41"/>
      <c r="AE41" s="106">
        <f t="shared" si="0"/>
        <v>0.2142857142857143</v>
      </c>
      <c r="AF41" s="79">
        <f t="shared" si="1"/>
        <v>0.07272727272727272</v>
      </c>
      <c r="AG41" s="79">
        <f t="shared" si="2"/>
        <v>2.6333333333333333</v>
      </c>
      <c r="AH41" s="79">
        <f t="shared" si="3"/>
        <v>385.2857142857143</v>
      </c>
      <c r="AI41" s="79">
        <f t="shared" si="4"/>
        <v>0.7142857142857143</v>
      </c>
      <c r="AJ41" s="79">
        <f t="shared" si="5"/>
        <v>2.7842857142857143</v>
      </c>
      <c r="AK41" s="79">
        <f t="shared" si="6"/>
        <v>0.4838709677419355</v>
      </c>
      <c r="AL41" s="79">
        <f t="shared" si="7"/>
        <v>2.5643589743589743</v>
      </c>
      <c r="AM41" s="79">
        <f t="shared" si="8"/>
        <v>28.515</v>
      </c>
      <c r="AN41" s="79">
        <f t="shared" si="9"/>
        <v>24.916666666666668</v>
      </c>
      <c r="AO41" s="79">
        <f t="shared" si="10"/>
        <v>106.73913043478261</v>
      </c>
      <c r="AP41" s="79">
        <f t="shared" si="11"/>
        <v>38.7125</v>
      </c>
      <c r="AQ41" s="79">
        <f t="shared" si="12"/>
        <v>75.57142857142857</v>
      </c>
      <c r="AR41" s="69">
        <f t="shared" si="13"/>
        <v>0.26302679918953814</v>
      </c>
      <c r="AS41" s="79">
        <f t="shared" si="14"/>
        <v>4.838709677419355</v>
      </c>
      <c r="AT41" s="79">
        <f t="shared" si="15"/>
        <v>40.912499999999994</v>
      </c>
      <c r="AU41" s="79">
        <f t="shared" si="16"/>
        <v>0.06349206349206349</v>
      </c>
      <c r="AV41" s="79">
        <f t="shared" si="17"/>
        <v>0.061538461538461535</v>
      </c>
      <c r="AW41" s="69"/>
      <c r="AX41" s="69"/>
      <c r="AY41" s="69"/>
      <c r="AZ41" s="69">
        <f t="shared" si="18"/>
        <v>3.4985714285714287</v>
      </c>
      <c r="BA41" s="111">
        <f t="shared" si="32"/>
        <v>163.44944179009397</v>
      </c>
      <c r="BB41" s="111">
        <f t="shared" si="19"/>
        <v>117.06821428571428</v>
      </c>
      <c r="BC41" s="25">
        <f t="shared" si="20"/>
        <v>16.534156228599542</v>
      </c>
      <c r="BD41" s="80">
        <f>(('[1]setup'!$B$13*'[1]setup'!$B$14*'[1]setup'!$B$15)/10^(-S41))*10^6</f>
        <v>45.08102724267871</v>
      </c>
      <c r="BE41" s="74">
        <f t="shared" si="21"/>
        <v>14.00492919824116</v>
      </c>
      <c r="BF41" s="75">
        <f t="shared" si="22"/>
        <v>46.38122750437972</v>
      </c>
      <c r="BG41" s="73">
        <f t="shared" si="23"/>
        <v>163.71246858928353</v>
      </c>
      <c r="BH41" s="73">
        <f t="shared" si="24"/>
        <v>176.15417072663416</v>
      </c>
      <c r="BI41" s="76">
        <f t="shared" si="25"/>
        <v>3.6607600447026054</v>
      </c>
      <c r="BJ41" s="59"/>
      <c r="BK41" s="81">
        <f>(3*('[1]setup'!$D$19*(10^-S41)^3)+2*('[1]setup'!$D$20*'[1]setup'!$D$19*((10^-S41)^2))+('[1]setup'!$D$21*'[1]setup'!$D$19*10^-S41)+('[1]setup'!$D$19*'[1]setup'!$D$22*(AP41/(10^6*2))*(10^-S41)^3))*10^6</f>
        <v>0.00028085183113524313</v>
      </c>
      <c r="BL41" s="82">
        <f t="shared" si="26"/>
        <v>1.5635079127216613</v>
      </c>
      <c r="BM41" s="75">
        <f>(BL41/((('[1]setup'!$C$26)/10^-S41)+2*(('[1]setup'!$C$26*'[1]setup'!$C$27)/(10^-S41^2))+3*(('[1]setup'!$C$26*'[1]setup'!$C$27*'[1]setup'!$C$28)/(10^-S41^3))))/(10^-S41^3/(10^-S41^3+'[1]setup'!$C$26*10^-S41^2+'[1]setup'!$C$26*'[1]setup'!$C$27*10^-S41+'[1]setup'!$C$26*'[1]setup'!$C$27*'[1]setup'!$C$28))</f>
        <v>0.6100540691210188</v>
      </c>
      <c r="BN41" s="75"/>
      <c r="BO41" s="137">
        <f t="shared" si="27"/>
        <v>163.44944179009397</v>
      </c>
      <c r="BP41" s="137">
        <f t="shared" si="28"/>
        <v>117.06821428571428</v>
      </c>
      <c r="BQ41" s="137">
        <f t="shared" si="29"/>
        <v>1.3961897581454743</v>
      </c>
      <c r="BR41" s="137">
        <f t="shared" si="30"/>
        <v>45.66694179009397</v>
      </c>
      <c r="BS41" s="137">
        <f t="shared" si="31"/>
        <v>1.4124270567929647</v>
      </c>
      <c r="BT41" s="69"/>
      <c r="BU41" s="69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</row>
    <row r="42" spans="1:162" s="132" customFormat="1" ht="12.75">
      <c r="A42" s="104">
        <v>38866</v>
      </c>
      <c r="B42" s="20">
        <v>13.45</v>
      </c>
      <c r="C42" s="5" t="s">
        <v>90</v>
      </c>
      <c r="D42" s="83">
        <v>859975</v>
      </c>
      <c r="E42" s="110"/>
      <c r="F42" s="34">
        <v>0.0324</v>
      </c>
      <c r="G42" s="9">
        <f>G6</f>
        <v>0.002</v>
      </c>
      <c r="H42" s="34">
        <v>0.1005</v>
      </c>
      <c r="I42" s="32">
        <v>2.026</v>
      </c>
      <c r="J42" s="9">
        <v>0.014</v>
      </c>
      <c r="K42" s="9">
        <v>0.0250455</v>
      </c>
      <c r="L42" s="9">
        <v>0.015</v>
      </c>
      <c r="M42" s="9">
        <f>M6</f>
        <v>0.1</v>
      </c>
      <c r="N42" s="32">
        <v>0.5426</v>
      </c>
      <c r="O42" s="32">
        <v>0.3556</v>
      </c>
      <c r="P42" s="32">
        <v>2.5</v>
      </c>
      <c r="Q42" s="16">
        <v>0.416061</v>
      </c>
      <c r="R42" s="16">
        <v>3.59564</v>
      </c>
      <c r="S42" s="20">
        <v>5.73</v>
      </c>
      <c r="T42" s="5">
        <v>18.7</v>
      </c>
      <c r="U42" s="5">
        <v>21.496</v>
      </c>
      <c r="V42" s="9">
        <f>V6</f>
        <v>0.05</v>
      </c>
      <c r="W42" s="32">
        <v>0.4607</v>
      </c>
      <c r="X42" s="9">
        <f>X6</f>
        <v>0.002</v>
      </c>
      <c r="Y42" s="9">
        <f>Y6</f>
        <v>0.002</v>
      </c>
      <c r="Z42" s="33">
        <v>7.199</v>
      </c>
      <c r="AA42"/>
      <c r="AB42"/>
      <c r="AC42"/>
      <c r="AD42"/>
      <c r="AE42" s="106">
        <f t="shared" si="0"/>
        <v>1.157142857142857</v>
      </c>
      <c r="AF42" s="79">
        <f t="shared" si="1"/>
        <v>0.07272727272727272</v>
      </c>
      <c r="AG42" s="79">
        <f t="shared" si="2"/>
        <v>11.166666666666666</v>
      </c>
      <c r="AH42" s="79">
        <f t="shared" si="3"/>
        <v>289.42857142857144</v>
      </c>
      <c r="AI42" s="79">
        <f t="shared" si="4"/>
        <v>1</v>
      </c>
      <c r="AJ42" s="79">
        <f t="shared" si="5"/>
        <v>1.7889642857142856</v>
      </c>
      <c r="AK42" s="79">
        <f t="shared" si="6"/>
        <v>1.4516129032258063</v>
      </c>
      <c r="AL42" s="79">
        <f t="shared" si="7"/>
        <v>2.5641025641025643</v>
      </c>
      <c r="AM42" s="79">
        <f t="shared" si="8"/>
        <v>27.13</v>
      </c>
      <c r="AN42" s="79">
        <f t="shared" si="9"/>
        <v>29.633333333333333</v>
      </c>
      <c r="AO42" s="79">
        <f t="shared" si="10"/>
        <v>108.69565217391305</v>
      </c>
      <c r="AP42" s="79">
        <f t="shared" si="11"/>
        <v>26.003812500000002</v>
      </c>
      <c r="AQ42" s="79">
        <f t="shared" si="12"/>
        <v>102.73257142857142</v>
      </c>
      <c r="AR42" s="69">
        <f t="shared" si="13"/>
        <v>1.8620871366628657</v>
      </c>
      <c r="AS42" s="79">
        <f t="shared" si="14"/>
        <v>4.838709677419355</v>
      </c>
      <c r="AT42" s="79">
        <f t="shared" si="15"/>
        <v>28.79375</v>
      </c>
      <c r="AU42" s="79">
        <f t="shared" si="16"/>
        <v>0.06349206349206349</v>
      </c>
      <c r="AV42" s="79">
        <f t="shared" si="17"/>
        <v>0.061538461538461535</v>
      </c>
      <c r="AW42" s="69"/>
      <c r="AX42" s="69"/>
      <c r="AY42" s="69"/>
      <c r="AZ42" s="69">
        <f t="shared" si="18"/>
        <v>2.7889642857142856</v>
      </c>
      <c r="BA42" s="111">
        <f t="shared" si="32"/>
        <v>169.02308807134895</v>
      </c>
      <c r="BB42" s="111">
        <f t="shared" si="19"/>
        <v>130.5253482142857</v>
      </c>
      <c r="BC42" s="25">
        <f t="shared" si="20"/>
        <v>12.851924828729095</v>
      </c>
      <c r="BD42" s="80">
        <f>(('[1]setup'!$B$13*'[1]setup'!$B$14*'[1]setup'!$B$15)/10^(-S42))*10^6</f>
        <v>6.367864353044493</v>
      </c>
      <c r="BE42" s="74">
        <f t="shared" si="21"/>
        <v>63.83247216214382</v>
      </c>
      <c r="BF42" s="75">
        <f t="shared" si="22"/>
        <v>38.49773985706324</v>
      </c>
      <c r="BG42" s="73">
        <f t="shared" si="23"/>
        <v>170.88517520801182</v>
      </c>
      <c r="BH42" s="73">
        <f t="shared" si="24"/>
        <v>200.72568472947404</v>
      </c>
      <c r="BI42" s="76">
        <f t="shared" si="25"/>
        <v>8.030042374564115</v>
      </c>
      <c r="BJ42" s="59"/>
      <c r="BK42" s="81">
        <f>(3*('[1]setup'!$D$19*(10^-S42)^3)+2*('[1]setup'!$D$20*'[1]setup'!$D$19*((10^-S42)^2))+('[1]setup'!$D$21*'[1]setup'!$D$19*10^-S42)+('[1]setup'!$D$19*'[1]setup'!$D$22*(AP42/(10^6*2))*(10^-S42)^3))*10^6</f>
        <v>0.005814363250008139</v>
      </c>
      <c r="BL42" s="82">
        <f t="shared" si="26"/>
        <v>33.99777700393162</v>
      </c>
      <c r="BM42" s="75">
        <f>(BL42/((('[1]setup'!$C$26)/10^-S42)+2*(('[1]setup'!$C$26*'[1]setup'!$C$27)/(10^-S42^2))+3*(('[1]setup'!$C$26*'[1]setup'!$C$27*'[1]setup'!$C$28)/(10^-S42^3))))/(10^-S42^3/(10^-S42^3+'[1]setup'!$C$26*10^-S42^2+'[1]setup'!$C$26*'[1]setup'!$C$27*10^-S42+'[1]setup'!$C$26*'[1]setup'!$C$27*'[1]setup'!$C$28))</f>
        <v>16.182939513750735</v>
      </c>
      <c r="BN42" s="75"/>
      <c r="BO42" s="137">
        <f t="shared" si="27"/>
        <v>169.02308807134895</v>
      </c>
      <c r="BP42" s="137">
        <f t="shared" si="28"/>
        <v>130.5253482142857</v>
      </c>
      <c r="BQ42" s="137">
        <f t="shared" si="29"/>
        <v>1.2949445481950437</v>
      </c>
      <c r="BR42" s="137">
        <f t="shared" si="30"/>
        <v>37.49773985706324</v>
      </c>
      <c r="BS42" s="137">
        <f t="shared" si="31"/>
        <v>1.0580446947099702</v>
      </c>
      <c r="BT42" s="69"/>
      <c r="BU42" s="69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</row>
    <row r="43" spans="1:73" ht="12.75">
      <c r="A43" s="104">
        <v>38910</v>
      </c>
      <c r="B43" s="20">
        <v>12.3</v>
      </c>
      <c r="C43" s="5" t="s">
        <v>90</v>
      </c>
      <c r="D43" s="83">
        <v>861943</v>
      </c>
      <c r="E43" s="110"/>
      <c r="F43" s="76">
        <f>F6</f>
        <v>0.006</v>
      </c>
      <c r="G43" s="4">
        <f>G6</f>
        <v>0.002</v>
      </c>
      <c r="H43" s="76">
        <v>0.02</v>
      </c>
      <c r="I43" s="30">
        <v>2.77</v>
      </c>
      <c r="J43" s="29">
        <v>0.018</v>
      </c>
      <c r="K43" s="30">
        <v>0.035</v>
      </c>
      <c r="L43" s="91">
        <v>0.005</v>
      </c>
      <c r="M43" s="4">
        <f>M6</f>
        <v>0.1</v>
      </c>
      <c r="N43" s="75">
        <v>0.58</v>
      </c>
      <c r="O43" s="29">
        <v>0.28</v>
      </c>
      <c r="P43" s="4">
        <v>2.76</v>
      </c>
      <c r="Q43" s="29">
        <v>0.633</v>
      </c>
      <c r="R43" s="30">
        <v>2.846</v>
      </c>
      <c r="S43" s="1">
        <v>6.79</v>
      </c>
      <c r="T43" s="1">
        <v>23.4</v>
      </c>
      <c r="U43" s="1">
        <v>23.502</v>
      </c>
      <c r="V43" s="29">
        <f>V6</f>
        <v>0.05</v>
      </c>
      <c r="W43" s="4">
        <v>0.64</v>
      </c>
      <c r="X43" s="76">
        <f>X6</f>
        <v>0.002</v>
      </c>
      <c r="Y43" s="4">
        <f>Y6</f>
        <v>0.002</v>
      </c>
      <c r="Z43" s="91">
        <v>1.4</v>
      </c>
      <c r="AB43"/>
      <c r="AE43" s="106">
        <f t="shared" si="0"/>
        <v>0.2142857142857143</v>
      </c>
      <c r="AF43" s="79">
        <f t="shared" si="1"/>
        <v>0.07272727272727272</v>
      </c>
      <c r="AG43" s="79">
        <f t="shared" si="2"/>
        <v>2.2222222222222223</v>
      </c>
      <c r="AH43" s="79">
        <f t="shared" si="3"/>
        <v>395.7142857142857</v>
      </c>
      <c r="AI43" s="79">
        <f t="shared" si="4"/>
        <v>1.2857142857142856</v>
      </c>
      <c r="AJ43" s="79">
        <f t="shared" si="5"/>
        <v>2.5</v>
      </c>
      <c r="AK43" s="79">
        <f t="shared" si="6"/>
        <v>0.4838709677419355</v>
      </c>
      <c r="AL43" s="79">
        <f t="shared" si="7"/>
        <v>2.5641025641025643</v>
      </c>
      <c r="AM43" s="79">
        <f t="shared" si="8"/>
        <v>28.999999999999996</v>
      </c>
      <c r="AN43" s="79">
        <f t="shared" si="9"/>
        <v>23.333333333333336</v>
      </c>
      <c r="AO43" s="79">
        <f t="shared" si="10"/>
        <v>120</v>
      </c>
      <c r="AP43" s="79">
        <f t="shared" si="11"/>
        <v>39.5625</v>
      </c>
      <c r="AQ43" s="79">
        <f t="shared" si="12"/>
        <v>81.31428571428572</v>
      </c>
      <c r="AR43" s="69">
        <f t="shared" si="13"/>
        <v>0.16218100973589297</v>
      </c>
      <c r="AS43" s="79">
        <f t="shared" si="14"/>
        <v>4.838709677419355</v>
      </c>
      <c r="AT43" s="79">
        <f t="shared" si="15"/>
        <v>40</v>
      </c>
      <c r="AU43" s="79">
        <f t="shared" si="16"/>
        <v>0.06349206349206349</v>
      </c>
      <c r="AV43" s="79">
        <f t="shared" si="17"/>
        <v>0.061538461538461535</v>
      </c>
      <c r="AW43" s="69"/>
      <c r="AX43" s="69"/>
      <c r="AY43" s="69"/>
      <c r="AZ43" s="69">
        <f t="shared" si="18"/>
        <v>3.7857142857142856</v>
      </c>
      <c r="BA43" s="111">
        <f t="shared" si="32"/>
        <v>176.1831501831502</v>
      </c>
      <c r="BB43" s="111">
        <f t="shared" si="19"/>
        <v>123.37678571428572</v>
      </c>
      <c r="BC43" s="25">
        <f t="shared" si="20"/>
        <v>17.627979626402528</v>
      </c>
      <c r="BD43" s="80">
        <f>(('[1]setup'!$B$13*'[1]setup'!$B$14*'[1]setup'!$B$15)/10^(-S43))*10^6</f>
        <v>73.1128651814893</v>
      </c>
      <c r="BE43" s="74">
        <f t="shared" si="21"/>
        <v>13.586895122133292</v>
      </c>
      <c r="BF43" s="75">
        <f t="shared" si="22"/>
        <v>52.806364468864444</v>
      </c>
      <c r="BG43" s="73">
        <f t="shared" si="23"/>
        <v>176.34533119288605</v>
      </c>
      <c r="BH43" s="73">
        <f t="shared" si="24"/>
        <v>210.0765460179083</v>
      </c>
      <c r="BI43" s="76">
        <f t="shared" si="25"/>
        <v>8.729116236506911</v>
      </c>
      <c r="BJ43" s="59"/>
      <c r="BK43" s="81">
        <f>(3*('[1]setup'!$D$19*(10^-S43)^3)+2*('[1]setup'!$D$20*'[1]setup'!$D$19*((10^-S43)^2))+('[1]setup'!$D$21*'[1]setup'!$D$19*10^-S43)+('[1]setup'!$D$19*'[1]setup'!$D$22*(AP43/(10^6*2))*(10^-S43)^3))*10^6</f>
        <v>0.00016052282124912935</v>
      </c>
      <c r="BL43" s="82">
        <f t="shared" si="26"/>
        <v>-20.144159180067703</v>
      </c>
      <c r="BM43" s="75">
        <f>(BL43/((('[1]setup'!$C$26)/10^-S43)+2*(('[1]setup'!$C$26*'[1]setup'!$C$27)/(10^-S43^2))+3*(('[1]setup'!$C$26*'[1]setup'!$C$27*'[1]setup'!$C$28)/(10^-S43^3))))/(10^-S43^3/(10^-S43^3+'[1]setup'!$C$26*10^-S43^2+'[1]setup'!$C$26*'[1]setup'!$C$27*10^-S43+'[1]setup'!$C$26*'[1]setup'!$C$27*'[1]setup'!$C$28))</f>
        <v>-7.520647860142405</v>
      </c>
      <c r="BN43" s="75"/>
      <c r="BO43" s="137">
        <f t="shared" si="27"/>
        <v>176.1831501831502</v>
      </c>
      <c r="BP43" s="137">
        <f t="shared" si="28"/>
        <v>123.37678571428572</v>
      </c>
      <c r="BQ43" s="137">
        <f t="shared" si="29"/>
        <v>1.428008917262221</v>
      </c>
      <c r="BR43" s="137">
        <f t="shared" si="30"/>
        <v>51.520650183150195</v>
      </c>
      <c r="BS43" s="137">
        <f t="shared" si="31"/>
        <v>1.4757554462403373</v>
      </c>
      <c r="BT43" s="69"/>
      <c r="BU43" s="69"/>
    </row>
    <row r="44" spans="1:73" ht="12.75">
      <c r="A44" s="26">
        <v>38966</v>
      </c>
      <c r="B44" s="20">
        <v>13.3</v>
      </c>
      <c r="C44" s="5" t="s">
        <v>90</v>
      </c>
      <c r="D44" s="1">
        <v>868216</v>
      </c>
      <c r="E44" s="110"/>
      <c r="F44" s="5">
        <v>0.071</v>
      </c>
      <c r="G44" s="4">
        <f>G6</f>
        <v>0.002</v>
      </c>
      <c r="H44" s="24">
        <v>0.189</v>
      </c>
      <c r="I44" s="32">
        <v>2.19</v>
      </c>
      <c r="J44" s="29">
        <v>0.01</v>
      </c>
      <c r="K44" s="32">
        <v>0.04</v>
      </c>
      <c r="L44" s="5">
        <v>0.005</v>
      </c>
      <c r="M44" s="1">
        <v>0.13</v>
      </c>
      <c r="N44" s="75">
        <v>0.77</v>
      </c>
      <c r="O44" s="34">
        <v>0.36</v>
      </c>
      <c r="P44" s="9">
        <v>2.35</v>
      </c>
      <c r="Q44" s="29">
        <v>0.522</v>
      </c>
      <c r="R44" s="32">
        <v>2.678</v>
      </c>
      <c r="S44" s="1">
        <v>5.6</v>
      </c>
      <c r="T44" s="1">
        <v>20.2</v>
      </c>
      <c r="U44" s="16">
        <v>22.651</v>
      </c>
      <c r="V44" s="29">
        <v>0.05</v>
      </c>
      <c r="W44" s="9">
        <v>0.56</v>
      </c>
      <c r="X44" s="76">
        <f>X6</f>
        <v>0.002</v>
      </c>
      <c r="Y44" s="87">
        <v>0.01</v>
      </c>
      <c r="Z44" s="5">
        <v>12.3</v>
      </c>
      <c r="AB44"/>
      <c r="AE44" s="106">
        <f t="shared" si="0"/>
        <v>2.5357142857142856</v>
      </c>
      <c r="AF44" s="79">
        <f t="shared" si="1"/>
        <v>0.07272727272727272</v>
      </c>
      <c r="AG44" s="79">
        <f t="shared" si="2"/>
        <v>21</v>
      </c>
      <c r="AH44" s="79">
        <f t="shared" si="3"/>
        <v>312.85714285714283</v>
      </c>
      <c r="AI44" s="79">
        <f t="shared" si="4"/>
        <v>0.7142857142857143</v>
      </c>
      <c r="AJ44" s="79">
        <f t="shared" si="5"/>
        <v>2.857142857142857</v>
      </c>
      <c r="AK44" s="79">
        <f t="shared" si="6"/>
        <v>0.4838709677419355</v>
      </c>
      <c r="AL44" s="79">
        <f t="shared" si="7"/>
        <v>3.3333333333333335</v>
      </c>
      <c r="AM44" s="79">
        <f t="shared" si="8"/>
        <v>38.5</v>
      </c>
      <c r="AN44" s="79">
        <f t="shared" si="9"/>
        <v>30</v>
      </c>
      <c r="AO44" s="79">
        <f t="shared" si="10"/>
        <v>102.17391304347827</v>
      </c>
      <c r="AP44" s="79">
        <f t="shared" si="11"/>
        <v>32.625</v>
      </c>
      <c r="AQ44" s="79">
        <f t="shared" si="12"/>
        <v>76.51428571428572</v>
      </c>
      <c r="AR44" s="69">
        <f t="shared" si="13"/>
        <v>2.5118864315095824</v>
      </c>
      <c r="AS44" s="79">
        <f t="shared" si="14"/>
        <v>4.838709677419355</v>
      </c>
      <c r="AT44" s="79">
        <f t="shared" si="15"/>
        <v>35</v>
      </c>
      <c r="AU44" s="79">
        <f t="shared" si="16"/>
        <v>0.06349206349206349</v>
      </c>
      <c r="AV44" s="79">
        <f t="shared" si="17"/>
        <v>0.3076923076923077</v>
      </c>
      <c r="AW44" s="69"/>
      <c r="AX44" s="69"/>
      <c r="AY44" s="69"/>
      <c r="AZ44" s="69">
        <f t="shared" si="18"/>
        <v>3.5714285714285716</v>
      </c>
      <c r="BA44" s="111">
        <f t="shared" si="32"/>
        <v>174.72153209109734</v>
      </c>
      <c r="BB44" s="111">
        <f t="shared" si="19"/>
        <v>111.99642857142857</v>
      </c>
      <c r="BC44" s="25">
        <f t="shared" si="20"/>
        <v>21.876935569271076</v>
      </c>
      <c r="BD44" s="80">
        <f>(('[1]setup'!$B$13*'[1]setup'!$B$14*'[1]setup'!$B$15)/10^(-S44))*10^6</f>
        <v>4.7205630601269135</v>
      </c>
      <c r="BE44" s="74">
        <f t="shared" si="21"/>
        <v>106.92859451957663</v>
      </c>
      <c r="BF44" s="75">
        <f t="shared" si="22"/>
        <v>62.725103519668735</v>
      </c>
      <c r="BG44" s="73">
        <f t="shared" si="23"/>
        <v>177.23341852260688</v>
      </c>
      <c r="BH44" s="73">
        <f t="shared" si="24"/>
        <v>223.64558615113214</v>
      </c>
      <c r="BI44" s="76">
        <f t="shared" si="25"/>
        <v>11.5775999958637</v>
      </c>
      <c r="BJ44" s="59"/>
      <c r="BK44" s="81">
        <f>(3*('[1]setup'!$D$19*(10^-S44)^3)+2*('[1]setup'!$D$20*'[1]setup'!$D$19*((10^-S44)^2))+('[1]setup'!$D$21*'[1]setup'!$D$19*10^-S44)+('[1]setup'!$D$19*'[1]setup'!$D$22*(AP44/(10^6*2))*(10^-S44)^3))*10^6</f>
        <v>0.011050252124521777</v>
      </c>
      <c r="BL44" s="82">
        <f t="shared" si="26"/>
        <v>60.52747714317593</v>
      </c>
      <c r="BM44" s="75">
        <f>(BL44/((('[1]setup'!$C$26)/10^-S44)+2*(('[1]setup'!$C$26*'[1]setup'!$C$27)/(10^-S44^2))+3*(('[1]setup'!$C$26*'[1]setup'!$C$27*'[1]setup'!$C$28)/(10^-S44^3))))/(10^-S44^3/(10^-S44^3+'[1]setup'!$C$26*10^-S44^2+'[1]setup'!$C$26*'[1]setup'!$C$27*10^-S44+'[1]setup'!$C$26*'[1]setup'!$C$27*'[1]setup'!$C$28))</f>
        <v>29.580849835394844</v>
      </c>
      <c r="BN44" s="75"/>
      <c r="BO44" s="137">
        <f t="shared" si="27"/>
        <v>174.72153209109732</v>
      </c>
      <c r="BP44" s="137">
        <f t="shared" si="28"/>
        <v>111.99642857142857</v>
      </c>
      <c r="BQ44" s="137">
        <f t="shared" si="29"/>
        <v>1.5600634263052793</v>
      </c>
      <c r="BR44" s="137">
        <f t="shared" si="30"/>
        <v>62.010817805383056</v>
      </c>
      <c r="BS44" s="137">
        <f t="shared" si="31"/>
        <v>1.3353573400006493</v>
      </c>
      <c r="BT44" s="69"/>
      <c r="BU44" s="69"/>
    </row>
    <row r="45" spans="1:73" ht="12.75">
      <c r="A45" s="26">
        <v>38980</v>
      </c>
      <c r="B45" s="16">
        <v>12</v>
      </c>
      <c r="C45" s="5" t="s">
        <v>90</v>
      </c>
      <c r="D45" s="1">
        <v>869336</v>
      </c>
      <c r="E45" s="110"/>
      <c r="F45" s="9">
        <v>0.02</v>
      </c>
      <c r="G45" s="9">
        <f>G6</f>
        <v>0.002</v>
      </c>
      <c r="H45" s="9">
        <v>0.101</v>
      </c>
      <c r="I45" s="9">
        <v>2.63</v>
      </c>
      <c r="J45" s="9">
        <v>0.014</v>
      </c>
      <c r="K45" s="9">
        <v>0.025</v>
      </c>
      <c r="L45" s="9">
        <v>0.005</v>
      </c>
      <c r="M45" s="9">
        <v>0.19</v>
      </c>
      <c r="N45" s="4">
        <v>0.54</v>
      </c>
      <c r="O45" s="9">
        <v>0.32</v>
      </c>
      <c r="P45" s="9">
        <v>2.7</v>
      </c>
      <c r="Q45" s="9">
        <v>0.57</v>
      </c>
      <c r="R45" s="9">
        <v>2.77</v>
      </c>
      <c r="S45" s="122">
        <v>6.35</v>
      </c>
      <c r="T45" s="122">
        <v>21</v>
      </c>
      <c r="U45" s="122">
        <v>22.15</v>
      </c>
      <c r="V45" s="9">
        <f>V6</f>
        <v>0.05</v>
      </c>
      <c r="W45" s="9">
        <v>0.57</v>
      </c>
      <c r="X45" s="4">
        <f>X6</f>
        <v>0.002</v>
      </c>
      <c r="Y45" s="9">
        <v>0.002</v>
      </c>
      <c r="Z45" s="9">
        <v>5.4</v>
      </c>
      <c r="AA45" s="9">
        <v>0.22</v>
      </c>
      <c r="AB45" s="76">
        <v>0.181</v>
      </c>
      <c r="AE45" s="106">
        <f t="shared" si="0"/>
        <v>0.7142857142857143</v>
      </c>
      <c r="AF45" s="79">
        <f t="shared" si="1"/>
        <v>0.07272727272727272</v>
      </c>
      <c r="AG45" s="79">
        <f t="shared" si="2"/>
        <v>11.222222222222223</v>
      </c>
      <c r="AH45" s="79">
        <f t="shared" si="3"/>
        <v>375.7142857142857</v>
      </c>
      <c r="AI45" s="79">
        <f t="shared" si="4"/>
        <v>1</v>
      </c>
      <c r="AJ45" s="79">
        <f t="shared" si="5"/>
        <v>1.7857142857142858</v>
      </c>
      <c r="AK45" s="79">
        <f t="shared" si="6"/>
        <v>0.4838709677419355</v>
      </c>
      <c r="AL45" s="79">
        <f t="shared" si="7"/>
        <v>4.871794871794872</v>
      </c>
      <c r="AM45" s="79">
        <f t="shared" si="8"/>
        <v>27.000000000000004</v>
      </c>
      <c r="AN45" s="79">
        <f t="shared" si="9"/>
        <v>26.666666666666668</v>
      </c>
      <c r="AO45" s="79">
        <f t="shared" si="10"/>
        <v>117.3913043478261</v>
      </c>
      <c r="AP45" s="79">
        <f t="shared" si="11"/>
        <v>35.625</v>
      </c>
      <c r="AQ45" s="79">
        <f t="shared" si="12"/>
        <v>79.14285714285714</v>
      </c>
      <c r="AR45" s="69">
        <f t="shared" si="13"/>
        <v>0.4466835921509635</v>
      </c>
      <c r="AS45" s="79">
        <f t="shared" si="14"/>
        <v>4.838709677419355</v>
      </c>
      <c r="AT45" s="79">
        <f t="shared" si="15"/>
        <v>35.625</v>
      </c>
      <c r="AU45" s="79">
        <f t="shared" si="16"/>
        <v>0.06349206349206349</v>
      </c>
      <c r="AV45" s="79">
        <f t="shared" si="17"/>
        <v>0.061538461538461535</v>
      </c>
      <c r="AW45" s="106">
        <f aca="true" t="shared" si="33" ref="AW45:AX58">AA45/14*1*1000</f>
        <v>15.714285714285715</v>
      </c>
      <c r="AX45" s="69">
        <f t="shared" si="33"/>
        <v>12.928571428571429</v>
      </c>
      <c r="AY45" s="69"/>
      <c r="AZ45" s="69">
        <f t="shared" si="18"/>
        <v>2.7857142857142856</v>
      </c>
      <c r="BA45" s="111">
        <f t="shared" si="32"/>
        <v>176.92976588628764</v>
      </c>
      <c r="BB45" s="111">
        <f t="shared" si="19"/>
        <v>116.55357142857142</v>
      </c>
      <c r="BC45" s="25">
        <f t="shared" si="20"/>
        <v>20.572273373374706</v>
      </c>
      <c r="BD45" s="80">
        <f>(('[1]setup'!$B$13*'[1]setup'!$B$14*'[1]setup'!$B$15)/10^(-S45))*10^6</f>
        <v>26.545676868763778</v>
      </c>
      <c r="BE45" s="74">
        <f t="shared" si="21"/>
        <v>51.10980765420173</v>
      </c>
      <c r="BF45" s="75">
        <f t="shared" si="22"/>
        <v>60.37619445771618</v>
      </c>
      <c r="BG45" s="73">
        <f t="shared" si="23"/>
        <v>177.3764494784386</v>
      </c>
      <c r="BH45" s="73">
        <f t="shared" si="24"/>
        <v>194.20905595153693</v>
      </c>
      <c r="BI45" s="76">
        <f t="shared" si="25"/>
        <v>4.529941622351684</v>
      </c>
      <c r="BJ45" s="59"/>
      <c r="BK45" s="81">
        <f>(3*('[1]setup'!$D$19*(10^-S45)^3)+2*('[1]setup'!$D$20*'[1]setup'!$D$19*((10^-S45)^2))+('[1]setup'!$D$21*'[1]setup'!$D$19*10^-S45)+('[1]setup'!$D$19*'[1]setup'!$D$22*(AP45/(10^6*2))*(10^-S45)^3))*10^6</f>
        <v>0.0005474298108430261</v>
      </c>
      <c r="BL45" s="82">
        <f t="shared" si="26"/>
        <v>34.277748610914216</v>
      </c>
      <c r="BM45" s="75">
        <f>(BL45/((('[1]setup'!$C$26)/10^-S45)+2*(('[1]setup'!$C$26*'[1]setup'!$C$27)/(10^-S45^2))+3*(('[1]setup'!$C$26*'[1]setup'!$C$27*'[1]setup'!$C$28)/(10^-S45^3))))/(10^-S45^3/(10^-S45^3+'[1]setup'!$C$26*10^-S45^2+'[1]setup'!$C$26*'[1]setup'!$C$27*10^-S45+'[1]setup'!$C$26*'[1]setup'!$C$27*'[1]setup'!$C$28))</f>
        <v>14.13278668074869</v>
      </c>
      <c r="BN45" s="75"/>
      <c r="BO45" s="137">
        <f t="shared" si="27"/>
        <v>176.92976588628764</v>
      </c>
      <c r="BP45" s="137">
        <f t="shared" si="28"/>
        <v>116.55357142857142</v>
      </c>
      <c r="BQ45" s="137">
        <f t="shared" si="29"/>
        <v>1.518012393079839</v>
      </c>
      <c r="BR45" s="137">
        <f t="shared" si="30"/>
        <v>59.376194457716224</v>
      </c>
      <c r="BS45" s="137">
        <f t="shared" si="31"/>
        <v>1.483283628943651</v>
      </c>
      <c r="BT45" s="69"/>
      <c r="BU45" s="69"/>
    </row>
    <row r="46" spans="1:71" s="1" customFormat="1" ht="12.75">
      <c r="A46" s="26">
        <v>39022</v>
      </c>
      <c r="B46" s="5">
        <v>13.45</v>
      </c>
      <c r="C46" s="1" t="s">
        <v>90</v>
      </c>
      <c r="D46" s="83">
        <v>873156</v>
      </c>
      <c r="E46" s="83"/>
      <c r="F46" s="5">
        <v>0.0289</v>
      </c>
      <c r="G46" s="1">
        <f>G6</f>
        <v>0.002</v>
      </c>
      <c r="H46" s="16">
        <v>0.08739</v>
      </c>
      <c r="I46" s="1">
        <v>2.888</v>
      </c>
      <c r="J46" s="1">
        <f>J6</f>
        <v>0.01</v>
      </c>
      <c r="K46" s="1">
        <f>K6</f>
        <v>0.025</v>
      </c>
      <c r="L46" s="1">
        <f>L6</f>
        <v>0.005</v>
      </c>
      <c r="M46" s="5">
        <v>0.237</v>
      </c>
      <c r="N46" s="5">
        <v>0.323</v>
      </c>
      <c r="O46" s="1">
        <v>0.2934</v>
      </c>
      <c r="P46" s="1">
        <v>3.096</v>
      </c>
      <c r="Q46" s="1">
        <v>0.536</v>
      </c>
      <c r="R46" s="1">
        <v>2.546</v>
      </c>
      <c r="S46" s="1">
        <v>6.2</v>
      </c>
      <c r="T46" s="1">
        <v>18.5</v>
      </c>
      <c r="U46" s="9">
        <v>19.325</v>
      </c>
      <c r="V46" s="1">
        <f>V6</f>
        <v>0.05</v>
      </c>
      <c r="W46" s="1">
        <v>0.73</v>
      </c>
      <c r="X46" s="5">
        <f>X6</f>
        <v>0.002</v>
      </c>
      <c r="Y46" s="1">
        <f>Y6</f>
        <v>0.002</v>
      </c>
      <c r="Z46" s="1">
        <v>5.2</v>
      </c>
      <c r="AA46" s="1">
        <v>0.12</v>
      </c>
      <c r="AB46" s="76">
        <v>0.08499999999999999</v>
      </c>
      <c r="AE46" s="106">
        <f t="shared" si="0"/>
        <v>1.032142857142857</v>
      </c>
      <c r="AF46" s="79">
        <f t="shared" si="1"/>
        <v>0.07272727272727272</v>
      </c>
      <c r="AG46" s="79">
        <f t="shared" si="2"/>
        <v>9.709999999999999</v>
      </c>
      <c r="AH46" s="79">
        <f t="shared" si="3"/>
        <v>412.57142857142856</v>
      </c>
      <c r="AI46" s="79">
        <f t="shared" si="4"/>
        <v>0.7142857142857143</v>
      </c>
      <c r="AJ46" s="79">
        <f t="shared" si="5"/>
        <v>1.7857142857142858</v>
      </c>
      <c r="AK46" s="79">
        <f t="shared" si="6"/>
        <v>0.4838709677419355</v>
      </c>
      <c r="AL46" s="79">
        <f t="shared" si="7"/>
        <v>6.076923076923077</v>
      </c>
      <c r="AM46" s="79">
        <f t="shared" si="8"/>
        <v>16.150000000000002</v>
      </c>
      <c r="AN46" s="79">
        <f t="shared" si="9"/>
        <v>24.45</v>
      </c>
      <c r="AO46" s="79">
        <f t="shared" si="10"/>
        <v>134.60869565217394</v>
      </c>
      <c r="AP46" s="79">
        <f t="shared" si="11"/>
        <v>33.5</v>
      </c>
      <c r="AQ46" s="79">
        <f t="shared" si="12"/>
        <v>72.74285714285713</v>
      </c>
      <c r="AR46" s="69">
        <f t="shared" si="13"/>
        <v>0.6309573444801929</v>
      </c>
      <c r="AS46" s="79">
        <f t="shared" si="14"/>
        <v>4.838709677419355</v>
      </c>
      <c r="AT46" s="79">
        <f t="shared" si="15"/>
        <v>45.625</v>
      </c>
      <c r="AU46" s="79">
        <f t="shared" si="16"/>
        <v>0.06349206349206349</v>
      </c>
      <c r="AV46" s="79">
        <f t="shared" si="17"/>
        <v>0.061538461538461535</v>
      </c>
      <c r="AW46" s="106">
        <f t="shared" si="33"/>
        <v>8.571428571428571</v>
      </c>
      <c r="AX46" s="69">
        <f t="shared" si="33"/>
        <v>6.07142857142857</v>
      </c>
      <c r="AY46" s="69"/>
      <c r="AZ46" s="69">
        <f t="shared" si="18"/>
        <v>2.5</v>
      </c>
      <c r="BA46" s="111">
        <f t="shared" si="32"/>
        <v>181.99990444338272</v>
      </c>
      <c r="BB46" s="111">
        <f t="shared" si="19"/>
        <v>108.02857142857141</v>
      </c>
      <c r="BC46" s="25">
        <f t="shared" si="20"/>
        <v>25.50485182271179</v>
      </c>
      <c r="BD46" s="80">
        <f>(('[1]setup'!$B$13*'[1]setup'!$B$14*'[1]setup'!$B$15)/10^(-S46))*10^6</f>
        <v>18.792900032864864</v>
      </c>
      <c r="BE46" s="74">
        <f t="shared" si="21"/>
        <v>48.62916995151576</v>
      </c>
      <c r="BF46" s="75">
        <f t="shared" si="22"/>
        <v>73.9713330148113</v>
      </c>
      <c r="BG46" s="73">
        <f t="shared" si="23"/>
        <v>182.6308617878629</v>
      </c>
      <c r="BH46" s="73">
        <f t="shared" si="24"/>
        <v>175.45064141295205</v>
      </c>
      <c r="BI46" s="76">
        <f t="shared" si="25"/>
        <v>2.0051916423295735</v>
      </c>
      <c r="BJ46" s="59"/>
      <c r="BK46" s="81">
        <f>(3*('[1]setup'!$D$19*(10^-S46)^3)+2*('[1]setup'!$D$20*'[1]setup'!$D$19*((10^-S46)^2))+('[1]setup'!$D$21*'[1]setup'!$D$19*10^-S46)+('[1]setup'!$D$19*'[1]setup'!$D$22*(AP46/(10^6*2))*(10^-S46)^3))*10^6</f>
        <v>0.0008860285218545426</v>
      </c>
      <c r="BL46" s="82">
        <f t="shared" si="26"/>
        <v>55.810276354948456</v>
      </c>
      <c r="BM46" s="75">
        <f>(BL46/((('[1]setup'!$C$26)/10^-S46)+2*(('[1]setup'!$C$26*'[1]setup'!$C$27)/(10^-S46^2))+3*(('[1]setup'!$C$26*'[1]setup'!$C$27*'[1]setup'!$C$28)/(10^-S46^3))))/(10^-S46^3/(10^-S46^3+'[1]setup'!$C$26*10^-S46^2+'[1]setup'!$C$26*'[1]setup'!$C$27*10^-S46+'[1]setup'!$C$26*'[1]setup'!$C$27*'[1]setup'!$C$28))</f>
        <v>23.881067608803697</v>
      </c>
      <c r="BN46" s="75"/>
      <c r="BO46" s="137">
        <f t="shared" si="27"/>
        <v>181.99990444338272</v>
      </c>
      <c r="BP46" s="137">
        <f t="shared" si="28"/>
        <v>108.02857142857141</v>
      </c>
      <c r="BQ46" s="137">
        <f t="shared" si="29"/>
        <v>1.68473860235874</v>
      </c>
      <c r="BR46" s="137">
        <f t="shared" si="30"/>
        <v>73.25704730052558</v>
      </c>
      <c r="BS46" s="137">
        <f t="shared" si="31"/>
        <v>1.8504730352812602</v>
      </c>
    </row>
    <row r="47" spans="1:71" s="1" customFormat="1" ht="12.75">
      <c r="A47" s="26">
        <v>39126</v>
      </c>
      <c r="B47" s="16">
        <v>14.15</v>
      </c>
      <c r="C47" s="1" t="s">
        <v>90</v>
      </c>
      <c r="D47" s="1">
        <v>884454</v>
      </c>
      <c r="F47" s="9">
        <v>0.02</v>
      </c>
      <c r="G47" s="9">
        <f>G6</f>
        <v>0.002</v>
      </c>
      <c r="H47" s="9">
        <v>0.063</v>
      </c>
      <c r="I47" s="9">
        <v>2.4</v>
      </c>
      <c r="J47" s="9">
        <f>J6</f>
        <v>0.01</v>
      </c>
      <c r="K47" s="9">
        <v>0.038</v>
      </c>
      <c r="L47" s="9">
        <f>L6</f>
        <v>0.005</v>
      </c>
      <c r="M47" s="9">
        <v>0.2</v>
      </c>
      <c r="N47" s="4">
        <v>0.57</v>
      </c>
      <c r="O47" s="9">
        <v>0.4</v>
      </c>
      <c r="P47" s="9">
        <v>2.88</v>
      </c>
      <c r="Q47" s="9">
        <v>0.59</v>
      </c>
      <c r="R47" s="9">
        <v>4.217</v>
      </c>
      <c r="S47" s="4">
        <v>6</v>
      </c>
      <c r="T47" s="1">
        <v>18.6</v>
      </c>
      <c r="U47" s="1">
        <v>23.947</v>
      </c>
      <c r="V47" s="9">
        <f>V6</f>
        <v>0.05</v>
      </c>
      <c r="W47" s="9">
        <v>0.59</v>
      </c>
      <c r="X47" s="4">
        <f>X6</f>
        <v>0.002</v>
      </c>
      <c r="Y47" s="9">
        <v>0.002</v>
      </c>
      <c r="Z47" s="9">
        <v>3.3</v>
      </c>
      <c r="AA47" s="9">
        <v>0.12</v>
      </c>
      <c r="AB47" s="76">
        <v>0.072</v>
      </c>
      <c r="AE47" s="106">
        <f t="shared" si="0"/>
        <v>0.7142857142857143</v>
      </c>
      <c r="AF47" s="79">
        <f t="shared" si="1"/>
        <v>0.07272727272727272</v>
      </c>
      <c r="AG47" s="79">
        <f t="shared" si="2"/>
        <v>7.000000000000001</v>
      </c>
      <c r="AH47" s="79">
        <f t="shared" si="3"/>
        <v>342.85714285714283</v>
      </c>
      <c r="AI47" s="79">
        <f t="shared" si="4"/>
        <v>0.7142857142857143</v>
      </c>
      <c r="AJ47" s="79">
        <f t="shared" si="5"/>
        <v>2.7142857142857144</v>
      </c>
      <c r="AK47" s="79">
        <f t="shared" si="6"/>
        <v>0.4838709677419355</v>
      </c>
      <c r="AL47" s="79">
        <f t="shared" si="7"/>
        <v>5.128205128205129</v>
      </c>
      <c r="AM47" s="79">
        <f t="shared" si="8"/>
        <v>28.499999999999996</v>
      </c>
      <c r="AN47" s="79">
        <f t="shared" si="9"/>
        <v>33.333333333333336</v>
      </c>
      <c r="AO47" s="79">
        <f t="shared" si="10"/>
        <v>125.21739130434781</v>
      </c>
      <c r="AP47" s="79">
        <f t="shared" si="11"/>
        <v>36.875</v>
      </c>
      <c r="AQ47" s="79">
        <f t="shared" si="12"/>
        <v>120.48571428571428</v>
      </c>
      <c r="AR47" s="69">
        <f t="shared" si="13"/>
        <v>1</v>
      </c>
      <c r="AS47" s="79">
        <f t="shared" si="14"/>
        <v>4.838709677419355</v>
      </c>
      <c r="AT47" s="79">
        <f t="shared" si="15"/>
        <v>36.875</v>
      </c>
      <c r="AU47" s="79">
        <f t="shared" si="16"/>
        <v>0.06349206349206349</v>
      </c>
      <c r="AV47" s="79">
        <f t="shared" si="17"/>
        <v>0.061538461538461535</v>
      </c>
      <c r="AW47" s="106">
        <f t="shared" si="33"/>
        <v>8.571428571428571</v>
      </c>
      <c r="AX47" s="69">
        <f t="shared" si="33"/>
        <v>5.142857142857142</v>
      </c>
      <c r="AY47" s="69"/>
      <c r="AZ47" s="69">
        <f t="shared" si="18"/>
        <v>3.428571428571429</v>
      </c>
      <c r="BA47" s="111">
        <f t="shared" si="32"/>
        <v>192.893215480172</v>
      </c>
      <c r="BB47" s="111">
        <f t="shared" si="19"/>
        <v>160.075</v>
      </c>
      <c r="BC47" s="25">
        <f t="shared" si="20"/>
        <v>9.29778207806237</v>
      </c>
      <c r="BD47" s="80">
        <f>(('[1]setup'!$B$13*'[1]setup'!$B$14*'[1]setup'!$B$15)/10^(-S47))*10^6</f>
        <v>11.857518299818139</v>
      </c>
      <c r="BE47" s="74">
        <f t="shared" si="21"/>
        <v>30.26509617677063</v>
      </c>
      <c r="BF47" s="75">
        <f t="shared" si="22"/>
        <v>32.818215480172</v>
      </c>
      <c r="BG47" s="73">
        <f t="shared" si="23"/>
        <v>193.893215480172</v>
      </c>
      <c r="BH47" s="73">
        <f t="shared" si="24"/>
        <v>202.19761447658877</v>
      </c>
      <c r="BI47" s="76">
        <f t="shared" si="25"/>
        <v>2.0965895618748176</v>
      </c>
      <c r="BJ47" s="59"/>
      <c r="BK47" s="81">
        <f>(3*('[1]setup'!$D$19*(10^-S47)^3)+2*('[1]setup'!$D$20*'[1]setup'!$D$19*((10^-S47)^2))+('[1]setup'!$D$21*'[1]setup'!$D$19*10^-S47)+('[1]setup'!$D$19*'[1]setup'!$D$22*(AP47/(10^6*2))*(10^-S47)^3))*10^6</f>
        <v>0.0018238953129791154</v>
      </c>
      <c r="BL47" s="82">
        <f t="shared" si="26"/>
        <v>21.962521075666842</v>
      </c>
      <c r="BM47" s="75">
        <f>(BL47/((('[1]setup'!$C$26)/10^-S47)+2*(('[1]setup'!$C$26*'[1]setup'!$C$27)/(10^-S47^2))+3*(('[1]setup'!$C$26*'[1]setup'!$C$27*'[1]setup'!$C$28)/(10^-S47^3))))/(10^-S47^3/(10^-S47^3+'[1]setup'!$C$26*10^-S47^2+'[1]setup'!$C$26*'[1]setup'!$C$27*10^-S47+'[1]setup'!$C$26*'[1]setup'!$C$27*'[1]setup'!$C$28))</f>
        <v>9.857939701888752</v>
      </c>
      <c r="BN47" s="75"/>
      <c r="BO47" s="137">
        <f t="shared" si="27"/>
        <v>192.893215480172</v>
      </c>
      <c r="BP47" s="137">
        <f t="shared" si="28"/>
        <v>160.075</v>
      </c>
      <c r="BQ47" s="137">
        <f t="shared" si="29"/>
        <v>1.2050177446832548</v>
      </c>
      <c r="BR47" s="137">
        <f t="shared" si="30"/>
        <v>32.10392976588628</v>
      </c>
      <c r="BS47" s="137">
        <f t="shared" si="31"/>
        <v>1.0392716850017012</v>
      </c>
    </row>
    <row r="48" spans="1:71" s="1" customFormat="1" ht="12.75">
      <c r="A48" s="26">
        <v>39140</v>
      </c>
      <c r="B48" s="16">
        <v>11.2</v>
      </c>
      <c r="C48" s="1" t="s">
        <v>90</v>
      </c>
      <c r="D48" s="83">
        <v>885322</v>
      </c>
      <c r="F48" s="1">
        <v>0.017</v>
      </c>
      <c r="G48" s="1">
        <f>G6</f>
        <v>0.002</v>
      </c>
      <c r="H48" s="1">
        <v>0.065</v>
      </c>
      <c r="I48" s="1">
        <v>2.32</v>
      </c>
      <c r="J48" s="1">
        <f>J6</f>
        <v>0.01</v>
      </c>
      <c r="K48" s="1">
        <v>0.033</v>
      </c>
      <c r="L48" s="1">
        <v>0.006</v>
      </c>
      <c r="M48" s="1">
        <v>0.1</v>
      </c>
      <c r="N48" s="1">
        <v>0.5</v>
      </c>
      <c r="O48" s="1">
        <v>0.25</v>
      </c>
      <c r="P48" s="1">
        <v>2.81</v>
      </c>
      <c r="Q48" s="1">
        <v>0.529</v>
      </c>
      <c r="R48" s="1">
        <v>3.624</v>
      </c>
      <c r="S48" s="5">
        <v>6.11</v>
      </c>
      <c r="T48" s="5">
        <v>19.3</v>
      </c>
      <c r="U48" s="20">
        <v>21.631</v>
      </c>
      <c r="V48" s="1">
        <f>V6</f>
        <v>0.05</v>
      </c>
      <c r="W48" s="1">
        <v>0.53</v>
      </c>
      <c r="X48" s="1">
        <f>X6</f>
        <v>0.002</v>
      </c>
      <c r="Y48" s="1">
        <f>Y6</f>
        <v>0.002</v>
      </c>
      <c r="Z48" s="1">
        <v>3.6</v>
      </c>
      <c r="AA48" s="1">
        <v>0.12</v>
      </c>
      <c r="AB48" s="76">
        <v>0.07699999999999999</v>
      </c>
      <c r="AE48" s="106">
        <f t="shared" si="0"/>
        <v>0.6071428571428572</v>
      </c>
      <c r="AF48" s="79">
        <f t="shared" si="1"/>
        <v>0.07272727272727272</v>
      </c>
      <c r="AG48" s="79">
        <f t="shared" si="2"/>
        <v>7.222222222222222</v>
      </c>
      <c r="AH48" s="79">
        <f t="shared" si="3"/>
        <v>331.4285714285714</v>
      </c>
      <c r="AI48" s="79">
        <f t="shared" si="4"/>
        <v>0.7142857142857143</v>
      </c>
      <c r="AJ48" s="79">
        <f t="shared" si="5"/>
        <v>2.357142857142857</v>
      </c>
      <c r="AK48" s="79">
        <f t="shared" si="6"/>
        <v>0.5806451612903225</v>
      </c>
      <c r="AL48" s="79">
        <f t="shared" si="7"/>
        <v>2.5641025641025643</v>
      </c>
      <c r="AM48" s="79">
        <f t="shared" si="8"/>
        <v>25</v>
      </c>
      <c r="AN48" s="79">
        <f t="shared" si="9"/>
        <v>20.833333333333332</v>
      </c>
      <c r="AO48" s="79">
        <f t="shared" si="10"/>
        <v>122.17391304347825</v>
      </c>
      <c r="AP48" s="79">
        <f t="shared" si="11"/>
        <v>33.0625</v>
      </c>
      <c r="AQ48" s="79">
        <f t="shared" si="12"/>
        <v>103.54285714285714</v>
      </c>
      <c r="AR48" s="69">
        <f t="shared" si="13"/>
        <v>0.7762471166286912</v>
      </c>
      <c r="AS48" s="79">
        <f t="shared" si="14"/>
        <v>4.838709677419355</v>
      </c>
      <c r="AT48" s="79">
        <f t="shared" si="15"/>
        <v>33.125</v>
      </c>
      <c r="AU48" s="79">
        <f t="shared" si="16"/>
        <v>0.06349206349206349</v>
      </c>
      <c r="AV48" s="79">
        <f t="shared" si="17"/>
        <v>0.061538461538461535</v>
      </c>
      <c r="AW48" s="106">
        <f t="shared" si="33"/>
        <v>8.571428571428571</v>
      </c>
      <c r="AX48" s="69">
        <f t="shared" si="33"/>
        <v>5.499999999999999</v>
      </c>
      <c r="AY48" s="69"/>
      <c r="AZ48" s="69">
        <f t="shared" si="18"/>
        <v>3.0714285714285716</v>
      </c>
      <c r="BA48" s="111">
        <f t="shared" si="32"/>
        <v>171.28563465519989</v>
      </c>
      <c r="BB48" s="111">
        <f t="shared" si="19"/>
        <v>138.9625</v>
      </c>
      <c r="BC48" s="25">
        <f t="shared" si="20"/>
        <v>10.41847832256036</v>
      </c>
      <c r="BD48" s="80">
        <f>(('[1]setup'!$B$13*'[1]setup'!$B$14*'[1]setup'!$B$15)/10^(-S48))*10^6</f>
        <v>15.275442633933878</v>
      </c>
      <c r="BE48" s="74">
        <f t="shared" si="21"/>
        <v>33.38986615456022</v>
      </c>
      <c r="BF48" s="75">
        <f t="shared" si="22"/>
        <v>32.32313465519985</v>
      </c>
      <c r="BG48" s="73">
        <f t="shared" si="23"/>
        <v>172.06188177182855</v>
      </c>
      <c r="BH48" s="73">
        <f t="shared" si="24"/>
        <v>187.62780878849412</v>
      </c>
      <c r="BI48" s="76">
        <f t="shared" si="25"/>
        <v>4.327598879027378</v>
      </c>
      <c r="BJ48" s="59"/>
      <c r="BK48" s="81">
        <f>(3*('[1]setup'!$D$19*(10^-S48)^3)+2*('[1]setup'!$D$20*'[1]setup'!$D$19*((10^-S48)^2))+('[1]setup'!$D$21*'[1]setup'!$D$19*10^-S48)+('[1]setup'!$D$19*'[1]setup'!$D$22*(AP48/(10^6*2))*(10^-S48)^3))*10^6</f>
        <v>0.001210638157959675</v>
      </c>
      <c r="BL48" s="82">
        <f t="shared" si="26"/>
        <v>17.825149776052655</v>
      </c>
      <c r="BM48" s="75">
        <f>(BL48/((('[1]setup'!$C$26)/10^-S48)+2*(('[1]setup'!$C$26*'[1]setup'!$C$27)/(10^-S48^2))+3*(('[1]setup'!$C$26*'[1]setup'!$C$27*'[1]setup'!$C$28)/(10^-S48^3))))/(10^-S48^3/(10^-S48^3+'[1]setup'!$C$26*10^-S48^2+'[1]setup'!$C$26*'[1]setup'!$C$27*10^-S48+'[1]setup'!$C$26*'[1]setup'!$C$27*'[1]setup'!$C$28))</f>
        <v>7.796183587412543</v>
      </c>
      <c r="BN48" s="75"/>
      <c r="BO48" s="137">
        <f t="shared" si="27"/>
        <v>171.28563465519986</v>
      </c>
      <c r="BP48" s="137">
        <f t="shared" si="28"/>
        <v>138.9625</v>
      </c>
      <c r="BQ48" s="137">
        <f t="shared" si="29"/>
        <v>1.2326032897738588</v>
      </c>
      <c r="BR48" s="137">
        <f t="shared" si="30"/>
        <v>31.608848940914157</v>
      </c>
      <c r="BS48" s="137">
        <f t="shared" si="31"/>
        <v>1.1799356944044532</v>
      </c>
    </row>
    <row r="49" spans="1:71" s="5" customFormat="1" ht="12.75">
      <c r="A49" s="26">
        <v>39168</v>
      </c>
      <c r="B49" s="20">
        <v>13</v>
      </c>
      <c r="C49" s="5" t="s">
        <v>90</v>
      </c>
      <c r="D49" s="5">
        <v>886508</v>
      </c>
      <c r="E49" s="92"/>
      <c r="F49" s="34">
        <v>0.017</v>
      </c>
      <c r="G49" s="1">
        <f>G6</f>
        <v>0.002</v>
      </c>
      <c r="H49" s="34">
        <v>0.037</v>
      </c>
      <c r="I49" s="32">
        <v>2.337</v>
      </c>
      <c r="J49" s="1">
        <f>J6</f>
        <v>0.01</v>
      </c>
      <c r="K49" s="4">
        <v>0.03845</v>
      </c>
      <c r="L49" s="1">
        <v>0.006</v>
      </c>
      <c r="M49" s="32">
        <v>0.2561</v>
      </c>
      <c r="N49" s="32">
        <v>0.5781</v>
      </c>
      <c r="O49" s="32">
        <v>0.3728</v>
      </c>
      <c r="P49" s="32">
        <v>3.569</v>
      </c>
      <c r="Q49" s="9">
        <v>0.5597</v>
      </c>
      <c r="R49" s="1">
        <v>4.206</v>
      </c>
      <c r="S49" s="1">
        <v>6.26</v>
      </c>
      <c r="T49" s="1">
        <v>18.9</v>
      </c>
      <c r="U49" s="1">
        <v>24.505</v>
      </c>
      <c r="V49" s="1">
        <f>V6</f>
        <v>0.05</v>
      </c>
      <c r="W49" s="32">
        <v>0.5368</v>
      </c>
      <c r="X49" s="1">
        <f>X6</f>
        <v>0.002</v>
      </c>
      <c r="Y49" s="34">
        <f>Y6</f>
        <v>0.002</v>
      </c>
      <c r="Z49" s="33">
        <v>2.388</v>
      </c>
      <c r="AA49" s="16">
        <v>0.09629</v>
      </c>
      <c r="AB49" s="76">
        <v>0.04784</v>
      </c>
      <c r="AE49" s="106">
        <f t="shared" si="0"/>
        <v>0.6071428571428572</v>
      </c>
      <c r="AF49" s="79">
        <f t="shared" si="1"/>
        <v>0.07272727272727272</v>
      </c>
      <c r="AG49" s="79">
        <f t="shared" si="2"/>
        <v>4.111111111111111</v>
      </c>
      <c r="AH49" s="79">
        <f t="shared" si="3"/>
        <v>333.8571428571429</v>
      </c>
      <c r="AI49" s="79">
        <f t="shared" si="4"/>
        <v>0.7142857142857143</v>
      </c>
      <c r="AJ49" s="79">
        <f t="shared" si="5"/>
        <v>2.746428571428571</v>
      </c>
      <c r="AK49" s="79">
        <f t="shared" si="6"/>
        <v>0.5806451612903225</v>
      </c>
      <c r="AL49" s="79">
        <f t="shared" si="7"/>
        <v>6.566666666666666</v>
      </c>
      <c r="AM49" s="79">
        <f t="shared" si="8"/>
        <v>28.904999999999998</v>
      </c>
      <c r="AN49" s="79">
        <f t="shared" si="9"/>
        <v>31.06666666666667</v>
      </c>
      <c r="AO49" s="79">
        <f t="shared" si="10"/>
        <v>155.17391304347825</v>
      </c>
      <c r="AP49" s="79">
        <f t="shared" si="11"/>
        <v>34.981249999999996</v>
      </c>
      <c r="AQ49" s="79">
        <f t="shared" si="12"/>
        <v>120.17142857142858</v>
      </c>
      <c r="AR49" s="69">
        <f t="shared" si="13"/>
        <v>0.5495408738576248</v>
      </c>
      <c r="AS49" s="79">
        <f t="shared" si="14"/>
        <v>4.838709677419355</v>
      </c>
      <c r="AT49" s="79">
        <f t="shared" si="15"/>
        <v>33.550000000000004</v>
      </c>
      <c r="AU49" s="79">
        <f t="shared" si="16"/>
        <v>0.06349206349206349</v>
      </c>
      <c r="AV49" s="79">
        <f t="shared" si="17"/>
        <v>0.061538461538461535</v>
      </c>
      <c r="AW49" s="106">
        <f t="shared" si="33"/>
        <v>6.877857142857143</v>
      </c>
      <c r="AX49" s="69">
        <f t="shared" si="33"/>
        <v>3.4171428571428573</v>
      </c>
      <c r="AY49" s="69"/>
      <c r="AZ49" s="69">
        <f t="shared" si="18"/>
        <v>3.4607142857142854</v>
      </c>
      <c r="BA49" s="111">
        <f t="shared" si="32"/>
        <v>222.4265320910973</v>
      </c>
      <c r="BB49" s="111">
        <f t="shared" si="19"/>
        <v>157.89910714285713</v>
      </c>
      <c r="BC49" s="25">
        <f t="shared" si="20"/>
        <v>16.96636205705464</v>
      </c>
      <c r="BD49" s="80">
        <f>(('[1]setup'!$B$13*'[1]setup'!$B$14*'[1]setup'!$B$15)/10^(-S49))*10^6</f>
        <v>21.577136231162672</v>
      </c>
      <c r="BE49" s="74">
        <f t="shared" si="21"/>
        <v>22.44515121090606</v>
      </c>
      <c r="BF49" s="75">
        <f t="shared" si="22"/>
        <v>64.52742494824017</v>
      </c>
      <c r="BG49" s="73">
        <f t="shared" si="23"/>
        <v>222.97607296495494</v>
      </c>
      <c r="BH49" s="73">
        <f t="shared" si="24"/>
        <v>201.92139458492588</v>
      </c>
      <c r="BI49" s="76">
        <f t="shared" si="25"/>
        <v>4.9552374367958185</v>
      </c>
      <c r="BJ49" s="59"/>
      <c r="BK49" s="81">
        <f>(3*('[1]setup'!$D$19*(10^-S49)^3)+2*('[1]setup'!$D$20*'[1]setup'!$D$19*((10^-S49)^2))+('[1]setup'!$D$21*'[1]setup'!$D$19*10^-S49)+('[1]setup'!$D$19*'[1]setup'!$D$22*(AP49/(10^6*2))*(10^-S49)^3))*10^6</f>
        <v>0.0007269247981705701</v>
      </c>
      <c r="BL49" s="82">
        <f t="shared" si="26"/>
        <v>43.50055651573328</v>
      </c>
      <c r="BM49" s="75">
        <f>(BL49/((('[1]setup'!$C$26)/10^-S49)+2*(('[1]setup'!$C$26*'[1]setup'!$C$27)/(10^-S49^2))+3*(('[1]setup'!$C$26*'[1]setup'!$C$27*'[1]setup'!$C$28)/(10^-S49^3))))/(10^-S49^3/(10^-S49^3+'[1]setup'!$C$26*10^-S49^2+'[1]setup'!$C$26*'[1]setup'!$C$27*10^-S49+'[1]setup'!$C$26*'[1]setup'!$C$27*'[1]setup'!$C$28))</f>
        <v>18.340043511342635</v>
      </c>
      <c r="BN49" s="75"/>
      <c r="BO49" s="137">
        <f t="shared" si="27"/>
        <v>222.4265320910973</v>
      </c>
      <c r="BP49" s="137">
        <f t="shared" si="28"/>
        <v>157.89910714285713</v>
      </c>
      <c r="BQ49" s="137">
        <f t="shared" si="29"/>
        <v>1.4086623801479754</v>
      </c>
      <c r="BR49" s="137">
        <f t="shared" si="30"/>
        <v>63.813139233954445</v>
      </c>
      <c r="BS49" s="137">
        <f t="shared" si="31"/>
        <v>1.2912712687878598</v>
      </c>
    </row>
    <row r="50" spans="1:71" s="24" customFormat="1" ht="12.75">
      <c r="A50" s="26">
        <v>39182</v>
      </c>
      <c r="B50" s="24">
        <v>12.15</v>
      </c>
      <c r="C50" s="1" t="s">
        <v>90</v>
      </c>
      <c r="D50" s="24">
        <v>891257</v>
      </c>
      <c r="E50" s="1"/>
      <c r="F50" s="1">
        <v>0.0113</v>
      </c>
      <c r="G50" s="1">
        <f>G6</f>
        <v>0.002</v>
      </c>
      <c r="H50" s="1">
        <v>0.0229</v>
      </c>
      <c r="I50" s="1">
        <v>4.34</v>
      </c>
      <c r="J50" s="1">
        <v>0.017</v>
      </c>
      <c r="K50" s="1">
        <v>0.042</v>
      </c>
      <c r="L50" s="1">
        <v>0.009</v>
      </c>
      <c r="M50" s="1">
        <v>0.299</v>
      </c>
      <c r="N50" s="1">
        <v>0.62</v>
      </c>
      <c r="O50" s="1">
        <v>0.2997</v>
      </c>
      <c r="P50" s="1">
        <v>3.602</v>
      </c>
      <c r="Q50" s="1">
        <v>0.641</v>
      </c>
      <c r="R50" s="1">
        <v>3.5</v>
      </c>
      <c r="S50" s="5">
        <v>6.58</v>
      </c>
      <c r="T50" s="20">
        <v>21.1</v>
      </c>
      <c r="U50" s="1">
        <v>24.027</v>
      </c>
      <c r="V50" s="1">
        <f>V6</f>
        <v>0.05</v>
      </c>
      <c r="X50" s="1">
        <f>X6</f>
        <v>0.002</v>
      </c>
      <c r="Y50" s="133">
        <v>0.002066</v>
      </c>
      <c r="Z50" s="1">
        <v>1.8</v>
      </c>
      <c r="AA50" s="1">
        <v>0.2</v>
      </c>
      <c r="AB50" s="76">
        <v>0.14100000000000001</v>
      </c>
      <c r="AE50" s="106">
        <f t="shared" si="0"/>
        <v>0.4035714285714285</v>
      </c>
      <c r="AF50" s="79">
        <f t="shared" si="1"/>
        <v>0.07272727272727272</v>
      </c>
      <c r="AG50" s="79">
        <f t="shared" si="2"/>
        <v>2.5444444444444443</v>
      </c>
      <c r="AH50" s="79">
        <f t="shared" si="3"/>
        <v>620</v>
      </c>
      <c r="AI50" s="79">
        <f t="shared" si="4"/>
        <v>1.2142857142857144</v>
      </c>
      <c r="AJ50" s="79">
        <f t="shared" si="5"/>
        <v>3</v>
      </c>
      <c r="AK50" s="79">
        <f t="shared" si="6"/>
        <v>0.8709677419354838</v>
      </c>
      <c r="AL50" s="79">
        <f t="shared" si="7"/>
        <v>7.666666666666666</v>
      </c>
      <c r="AM50" s="79">
        <f t="shared" si="8"/>
        <v>31</v>
      </c>
      <c r="AN50" s="79">
        <f t="shared" si="9"/>
        <v>24.975</v>
      </c>
      <c r="AO50" s="79">
        <f t="shared" si="10"/>
        <v>156.6086956521739</v>
      </c>
      <c r="AP50" s="79">
        <f t="shared" si="11"/>
        <v>40.0625</v>
      </c>
      <c r="AQ50" s="79">
        <f t="shared" si="12"/>
        <v>100</v>
      </c>
      <c r="AR50" s="69">
        <f t="shared" si="13"/>
        <v>0.26302679918953814</v>
      </c>
      <c r="AS50" s="79">
        <f t="shared" si="14"/>
        <v>4.838709677419355</v>
      </c>
      <c r="AT50" s="79"/>
      <c r="AU50" s="79">
        <f t="shared" si="16"/>
        <v>0.06349206349206349</v>
      </c>
      <c r="AV50" s="79">
        <f t="shared" si="17"/>
        <v>0.06356923076923078</v>
      </c>
      <c r="AW50" s="106">
        <f t="shared" si="33"/>
        <v>14.285714285714286</v>
      </c>
      <c r="AX50" s="69">
        <f t="shared" si="33"/>
        <v>10.071428571428573</v>
      </c>
      <c r="AY50" s="69"/>
      <c r="AZ50" s="69">
        <f t="shared" si="18"/>
        <v>4.214285714285714</v>
      </c>
      <c r="BA50" s="111">
        <f t="shared" si="32"/>
        <v>221.4646480331263</v>
      </c>
      <c r="BB50" s="111">
        <f t="shared" si="19"/>
        <v>143.0625</v>
      </c>
      <c r="BC50" s="25">
        <f t="shared" si="20"/>
        <v>21.507903720246794</v>
      </c>
      <c r="BD50" s="80">
        <f>(('[1]setup'!$B$13*'[1]setup'!$B$14*'[1]setup'!$B$15)/10^(-S50))*10^6</f>
        <v>45.08102724267871</v>
      </c>
      <c r="BE50" s="74">
        <f t="shared" si="21"/>
        <v>17.290036047211306</v>
      </c>
      <c r="BF50" s="75">
        <f t="shared" si="22"/>
        <v>78.40214803312628</v>
      </c>
      <c r="BG50" s="73">
        <f t="shared" si="23"/>
        <v>221.7276748323158</v>
      </c>
      <c r="BH50" s="73">
        <f t="shared" si="24"/>
        <v>205.43356328989003</v>
      </c>
      <c r="BI50" s="76">
        <f t="shared" si="25"/>
        <v>3.8145107955146966</v>
      </c>
      <c r="BJ50" s="59"/>
      <c r="BK50" s="81">
        <f>(3*('[1]setup'!$D$19*(10^-S50)^3)+2*('[1]setup'!$D$20*'[1]setup'!$D$19*((10^-S50)^2))+('[1]setup'!$D$21*'[1]setup'!$D$19*10^-S50)+('[1]setup'!$D$19*'[1]setup'!$D$22*(AP50/(10^6*2))*(10^-S50)^3))*10^6</f>
        <v>0.00028085285141838653</v>
      </c>
      <c r="BL50" s="82">
        <f t="shared" si="26"/>
        <v>33.58442844248853</v>
      </c>
      <c r="BM50" s="75">
        <f>(BL50/((('[1]setup'!$C$26)/10^-S50)+2*(('[1]setup'!$C$26*'[1]setup'!$C$27)/(10^-S50^2))+3*(('[1]setup'!$C$26*'[1]setup'!$C$27*'[1]setup'!$C$28)/(10^-S50^3))))/(10^-S50^3/(10^-S50^3+'[1]setup'!$C$26*10^-S50^2+'[1]setup'!$C$26*'[1]setup'!$C$27*10^-S50+'[1]setup'!$C$26*'[1]setup'!$C$27*'[1]setup'!$C$28))</f>
        <v>13.104070061774719</v>
      </c>
      <c r="BN50" s="75"/>
      <c r="BO50" s="137">
        <f t="shared" si="27"/>
        <v>221.46464803312628</v>
      </c>
      <c r="BP50" s="137">
        <f t="shared" si="28"/>
        <v>143.0625</v>
      </c>
      <c r="BQ50" s="137">
        <f t="shared" si="29"/>
        <v>1.5480272470642291</v>
      </c>
      <c r="BR50" s="137">
        <f t="shared" si="30"/>
        <v>77.18786231884059</v>
      </c>
      <c r="BS50" s="137">
        <f t="shared" si="31"/>
        <v>1.566086956521739</v>
      </c>
    </row>
    <row r="51" spans="1:71" s="1" customFormat="1" ht="12.75">
      <c r="A51" s="26">
        <v>39195</v>
      </c>
      <c r="B51" s="20">
        <v>16</v>
      </c>
      <c r="C51" s="5" t="s">
        <v>90</v>
      </c>
      <c r="D51" s="83">
        <v>892440</v>
      </c>
      <c r="E51" s="14"/>
      <c r="F51" s="1">
        <v>0.0101</v>
      </c>
      <c r="G51" s="1">
        <f>G6</f>
        <v>0.002</v>
      </c>
      <c r="H51" s="1">
        <v>0.02449</v>
      </c>
      <c r="I51" s="1">
        <v>5.33</v>
      </c>
      <c r="J51" s="1">
        <f>J6</f>
        <v>0.01</v>
      </c>
      <c r="K51" s="1">
        <v>0.029</v>
      </c>
      <c r="L51" s="1">
        <f>L6</f>
        <v>0.005</v>
      </c>
      <c r="M51" s="1">
        <v>0.338</v>
      </c>
      <c r="N51" s="1">
        <v>0.67</v>
      </c>
      <c r="O51" s="1">
        <v>0.2904</v>
      </c>
      <c r="P51" s="1">
        <v>4.421</v>
      </c>
      <c r="Q51" s="1">
        <v>0.638</v>
      </c>
      <c r="R51" s="1">
        <v>3.199</v>
      </c>
      <c r="S51" s="1">
        <v>6.68</v>
      </c>
      <c r="T51" s="1">
        <v>21.7</v>
      </c>
      <c r="U51" s="16">
        <v>23.464</v>
      </c>
      <c r="V51" s="1">
        <f>V6</f>
        <v>0.05</v>
      </c>
      <c r="W51" s="75"/>
      <c r="X51" s="1">
        <v>0.00207</v>
      </c>
      <c r="Y51" s="133">
        <v>0.003338</v>
      </c>
      <c r="Z51" s="1">
        <v>1.5</v>
      </c>
      <c r="AA51" s="1">
        <v>0.1</v>
      </c>
      <c r="AB51" s="76">
        <v>0.061000000000000006</v>
      </c>
      <c r="AE51" s="106">
        <f t="shared" si="0"/>
        <v>0.3607142857142857</v>
      </c>
      <c r="AF51" s="79">
        <f t="shared" si="1"/>
        <v>0.07272727272727272</v>
      </c>
      <c r="AG51" s="79">
        <f t="shared" si="2"/>
        <v>2.721111111111111</v>
      </c>
      <c r="AH51" s="79">
        <f t="shared" si="3"/>
        <v>761.4285714285714</v>
      </c>
      <c r="AI51" s="79">
        <f t="shared" si="4"/>
        <v>0.7142857142857143</v>
      </c>
      <c r="AJ51" s="79">
        <f t="shared" si="5"/>
        <v>2.0714285714285716</v>
      </c>
      <c r="AK51" s="79">
        <f t="shared" si="6"/>
        <v>0.4838709677419355</v>
      </c>
      <c r="AL51" s="79">
        <f t="shared" si="7"/>
        <v>8.666666666666668</v>
      </c>
      <c r="AM51" s="79">
        <f t="shared" si="8"/>
        <v>33.5</v>
      </c>
      <c r="AN51" s="79">
        <f t="shared" si="9"/>
        <v>24.2</v>
      </c>
      <c r="AO51" s="79">
        <f t="shared" si="10"/>
        <v>192.21739130434784</v>
      </c>
      <c r="AP51" s="79">
        <f t="shared" si="11"/>
        <v>39.875</v>
      </c>
      <c r="AQ51" s="79">
        <f t="shared" si="12"/>
        <v>91.39999999999999</v>
      </c>
      <c r="AR51" s="69">
        <f t="shared" si="13"/>
        <v>0.20892961308540403</v>
      </c>
      <c r="AS51" s="79">
        <f t="shared" si="14"/>
        <v>4.838709677419355</v>
      </c>
      <c r="AT51" s="79"/>
      <c r="AU51" s="79">
        <f t="shared" si="16"/>
        <v>0.06571428571428571</v>
      </c>
      <c r="AV51" s="79">
        <f t="shared" si="17"/>
        <v>0.10270769230769229</v>
      </c>
      <c r="AW51" s="106">
        <f t="shared" si="33"/>
        <v>7.142857142857143</v>
      </c>
      <c r="AX51" s="69">
        <f t="shared" si="33"/>
        <v>4.357142857142857</v>
      </c>
      <c r="AY51" s="69"/>
      <c r="AZ51" s="69">
        <f t="shared" si="18"/>
        <v>2.785714285714286</v>
      </c>
      <c r="BA51" s="111">
        <f t="shared" si="32"/>
        <v>259.29834368530027</v>
      </c>
      <c r="BB51" s="111">
        <f t="shared" si="19"/>
        <v>133.34642857142856</v>
      </c>
      <c r="BC51" s="25">
        <f t="shared" si="20"/>
        <v>32.077828106550896</v>
      </c>
      <c r="BD51" s="80">
        <f>(('[1]setup'!$B$13*'[1]setup'!$B$14*'[1]setup'!$B$15)/10^(-S51))*10^6</f>
        <v>56.75365078559331</v>
      </c>
      <c r="BE51" s="74">
        <f t="shared" si="21"/>
        <v>14.4840399065772</v>
      </c>
      <c r="BF51" s="75">
        <f t="shared" si="22"/>
        <v>125.9519151138717</v>
      </c>
      <c r="BG51" s="73">
        <f t="shared" si="23"/>
        <v>259.50727329838566</v>
      </c>
      <c r="BH51" s="73">
        <f t="shared" si="24"/>
        <v>204.58411926359906</v>
      </c>
      <c r="BI51" s="76">
        <f t="shared" si="25"/>
        <v>11.834555631723115</v>
      </c>
      <c r="BJ51" s="59"/>
      <c r="BK51" s="81">
        <f>(3*('[1]setup'!$D$19*(10^-S51)^3)+2*('[1]setup'!$D$20*'[1]setup'!$D$19*((10^-S51)^2))+('[1]setup'!$D$21*'[1]setup'!$D$19*10^-S51)+('[1]setup'!$D$19*'[1]setup'!$D$22*(AP51/(10^6*2))*(10^-S51)^3))*10^6</f>
        <v>0.00021418826226769273</v>
      </c>
      <c r="BL51" s="82">
        <f t="shared" si="26"/>
        <v>69.40740812962605</v>
      </c>
      <c r="BM51" s="75">
        <f>(BL51/((('[1]setup'!$C$26)/10^-S51)+2*(('[1]setup'!$C$26*'[1]setup'!$C$27)/(10^-S51^2))+3*(('[1]setup'!$C$26*'[1]setup'!$C$27*'[1]setup'!$C$28)/(10^-S51^3))))/(10^-S51^3/(10^-S51^3+'[1]setup'!$C$26*10^-S51^2+'[1]setup'!$C$26*'[1]setup'!$C$27*10^-S51+'[1]setup'!$C$26*'[1]setup'!$C$27*'[1]setup'!$C$28))</f>
        <v>26.492566336059987</v>
      </c>
      <c r="BN51" s="75"/>
      <c r="BO51" s="137">
        <f t="shared" si="27"/>
        <v>259.2983436853002</v>
      </c>
      <c r="BP51" s="137">
        <f t="shared" si="28"/>
        <v>133.34642857142856</v>
      </c>
      <c r="BQ51" s="137">
        <f t="shared" si="29"/>
        <v>1.9445465953848478</v>
      </c>
      <c r="BR51" s="137">
        <f t="shared" si="30"/>
        <v>125.23762939958598</v>
      </c>
      <c r="BS51" s="137">
        <f t="shared" si="31"/>
        <v>2.103034915802493</v>
      </c>
    </row>
    <row r="52" spans="1:71" s="1" customFormat="1" ht="12.75">
      <c r="A52" s="26">
        <v>39223</v>
      </c>
      <c r="B52" s="20">
        <v>19.3</v>
      </c>
      <c r="C52" s="1" t="s">
        <v>90</v>
      </c>
      <c r="D52" s="83">
        <v>893488</v>
      </c>
      <c r="E52" s="20"/>
      <c r="F52" s="95">
        <v>0.02725</v>
      </c>
      <c r="G52" s="1">
        <f>G6</f>
        <v>0.002</v>
      </c>
      <c r="H52" s="96">
        <v>0.06154</v>
      </c>
      <c r="I52" s="32">
        <v>4.574</v>
      </c>
      <c r="J52" s="1">
        <v>0.018</v>
      </c>
      <c r="K52" s="9">
        <v>0.02874</v>
      </c>
      <c r="L52" s="1">
        <v>0.005</v>
      </c>
      <c r="M52" s="34">
        <v>0.2688</v>
      </c>
      <c r="N52" s="32">
        <v>0.6337</v>
      </c>
      <c r="O52" s="95">
        <v>0.3343</v>
      </c>
      <c r="P52" s="34">
        <v>3.396</v>
      </c>
      <c r="Q52" s="9">
        <v>0.5413</v>
      </c>
      <c r="R52" s="1">
        <v>3.172</v>
      </c>
      <c r="S52" s="1">
        <v>6.44</v>
      </c>
      <c r="T52" s="1">
        <v>19.4</v>
      </c>
      <c r="U52" s="1">
        <v>22.265</v>
      </c>
      <c r="V52" s="95">
        <f>V6</f>
        <v>0.05</v>
      </c>
      <c r="W52" s="75"/>
      <c r="X52" s="96">
        <f>X6</f>
        <v>0.002</v>
      </c>
      <c r="Y52" s="97">
        <f>Y6</f>
        <v>0.002</v>
      </c>
      <c r="Z52" s="31">
        <v>3.43</v>
      </c>
      <c r="AA52" s="20">
        <v>0.1133</v>
      </c>
      <c r="AB52" s="76">
        <v>0.06656</v>
      </c>
      <c r="AE52" s="106">
        <f t="shared" si="0"/>
        <v>0.9732142857142857</v>
      </c>
      <c r="AF52" s="79">
        <f t="shared" si="1"/>
        <v>0.07272727272727272</v>
      </c>
      <c r="AG52" s="79">
        <f t="shared" si="2"/>
        <v>6.837777777777777</v>
      </c>
      <c r="AH52" s="79">
        <f t="shared" si="3"/>
        <v>653.4285714285713</v>
      </c>
      <c r="AI52" s="79">
        <f t="shared" si="4"/>
        <v>1.2857142857142856</v>
      </c>
      <c r="AJ52" s="79">
        <f t="shared" si="5"/>
        <v>2.0528571428571434</v>
      </c>
      <c r="AK52" s="79">
        <f t="shared" si="6"/>
        <v>0.4838709677419355</v>
      </c>
      <c r="AL52" s="79">
        <f t="shared" si="7"/>
        <v>6.892307692307692</v>
      </c>
      <c r="AM52" s="79">
        <f t="shared" si="8"/>
        <v>31.685000000000006</v>
      </c>
      <c r="AN52" s="79">
        <f t="shared" si="9"/>
        <v>27.85833333333333</v>
      </c>
      <c r="AO52" s="79">
        <f t="shared" si="10"/>
        <v>147.65217391304347</v>
      </c>
      <c r="AP52" s="79">
        <f t="shared" si="11"/>
        <v>33.83125</v>
      </c>
      <c r="AQ52" s="79">
        <f t="shared" si="12"/>
        <v>90.62857142857143</v>
      </c>
      <c r="AR52" s="69">
        <f t="shared" si="13"/>
        <v>0.363078054770101</v>
      </c>
      <c r="AS52" s="79">
        <f t="shared" si="14"/>
        <v>4.838709677419355</v>
      </c>
      <c r="AT52" s="79"/>
      <c r="AU52" s="79">
        <f t="shared" si="16"/>
        <v>0.06349206349206349</v>
      </c>
      <c r="AV52" s="79">
        <f t="shared" si="17"/>
        <v>0.061538461538461535</v>
      </c>
      <c r="AW52" s="106">
        <f t="shared" si="33"/>
        <v>8.092857142857143</v>
      </c>
      <c r="AX52" s="69">
        <f t="shared" si="33"/>
        <v>4.754285714285714</v>
      </c>
      <c r="AY52" s="69"/>
      <c r="AZ52" s="69">
        <f t="shared" si="18"/>
        <v>3.338571428571429</v>
      </c>
      <c r="BA52" s="111">
        <f t="shared" si="32"/>
        <v>215.3735292243988</v>
      </c>
      <c r="BB52" s="111">
        <f t="shared" si="19"/>
        <v>126.51267857142858</v>
      </c>
      <c r="BC52" s="25">
        <f t="shared" si="20"/>
        <v>25.99135286148701</v>
      </c>
      <c r="BD52" s="80">
        <f>(('[1]setup'!$B$13*'[1]setup'!$B$14*'[1]setup'!$B$15)/10^(-S52))*10^6</f>
        <v>32.658317251716774</v>
      </c>
      <c r="BE52" s="74">
        <f t="shared" si="21"/>
        <v>32.66824338304552</v>
      </c>
      <c r="BF52" s="75">
        <f t="shared" si="22"/>
        <v>88.86085065297019</v>
      </c>
      <c r="BG52" s="73">
        <f t="shared" si="23"/>
        <v>215.73660727916888</v>
      </c>
      <c r="BH52" s="73">
        <f t="shared" si="24"/>
        <v>191.83923920619088</v>
      </c>
      <c r="BI52" s="76">
        <f t="shared" si="25"/>
        <v>5.863293489801142</v>
      </c>
      <c r="BJ52" s="59"/>
      <c r="BK52" s="81">
        <f>(3*('[1]setup'!$D$19*(10^-S52)^3)+2*('[1]setup'!$D$20*'[1]setup'!$D$19*((10^-S52)^2))+('[1]setup'!$D$21*'[1]setup'!$D$19*10^-S52)+('[1]setup'!$D$19*'[1]setup'!$D$22*(AP52/(10^6*2))*(10^-S52)^3))*10^6</f>
        <v>0.0004179696833150095</v>
      </c>
      <c r="BL52" s="82">
        <f t="shared" si="26"/>
        <v>56.56602942570686</v>
      </c>
      <c r="BM52" s="75">
        <f>(BL52/((('[1]setup'!$C$26)/10^-S52)+2*(('[1]setup'!$C$26*'[1]setup'!$C$27)/(10^-S52^2))+3*(('[1]setup'!$C$26*'[1]setup'!$C$27*'[1]setup'!$C$28)/(10^-S52^3))))/(10^-S52^3/(10^-S52^3+'[1]setup'!$C$26*10^-S52^2+'[1]setup'!$C$26*'[1]setup'!$C$27*10^-S52+'[1]setup'!$C$26*'[1]setup'!$C$27*'[1]setup'!$C$28))</f>
        <v>22.812642926444187</v>
      </c>
      <c r="BN52" s="75"/>
      <c r="BO52" s="137">
        <f t="shared" si="27"/>
        <v>215.3735292243988</v>
      </c>
      <c r="BP52" s="137">
        <f t="shared" si="28"/>
        <v>126.51267857142858</v>
      </c>
      <c r="BQ52" s="137">
        <f t="shared" si="29"/>
        <v>1.702386920080897</v>
      </c>
      <c r="BR52" s="137">
        <f t="shared" si="30"/>
        <v>87.57513636725594</v>
      </c>
      <c r="BS52" s="137">
        <f t="shared" si="31"/>
        <v>1.6292011623444267</v>
      </c>
    </row>
    <row r="53" spans="1:71" ht="12.75">
      <c r="A53" s="26">
        <v>39251</v>
      </c>
      <c r="B53" s="20">
        <v>18</v>
      </c>
      <c r="C53" s="5" t="s">
        <v>90</v>
      </c>
      <c r="D53" s="83">
        <v>896809</v>
      </c>
      <c r="E53" s="1"/>
      <c r="F53" s="98">
        <v>0.007765</v>
      </c>
      <c r="G53" s="98">
        <f>G6</f>
        <v>0.002</v>
      </c>
      <c r="H53" s="99">
        <v>0.04833</v>
      </c>
      <c r="I53" s="100">
        <v>2.913</v>
      </c>
      <c r="J53" s="1">
        <v>0.118</v>
      </c>
      <c r="K53" s="9">
        <f>K6</f>
        <v>0.025</v>
      </c>
      <c r="L53" s="1">
        <f>L6</f>
        <v>0.005</v>
      </c>
      <c r="M53" s="100">
        <v>0.5142</v>
      </c>
      <c r="N53" s="99">
        <v>0.5818</v>
      </c>
      <c r="O53" s="100">
        <v>0.3194</v>
      </c>
      <c r="P53" s="100">
        <v>3.442</v>
      </c>
      <c r="Q53" s="9">
        <v>0.5894</v>
      </c>
      <c r="R53" s="1">
        <v>3.503</v>
      </c>
      <c r="S53" s="1">
        <v>6.54</v>
      </c>
      <c r="T53" s="35">
        <v>19.5</v>
      </c>
      <c r="U53" s="35">
        <v>25.337</v>
      </c>
      <c r="V53" s="101">
        <f>V6</f>
        <v>0.05</v>
      </c>
      <c r="W53" s="100"/>
      <c r="X53" s="98">
        <v>0.002642</v>
      </c>
      <c r="Y53" s="99">
        <v>0.004162</v>
      </c>
      <c r="Z53" s="33">
        <v>5.993</v>
      </c>
      <c r="AA53" s="23">
        <v>0.285366685480403</v>
      </c>
      <c r="AB53" s="76">
        <v>0.14236668548040302</v>
      </c>
      <c r="AE53" s="106">
        <f t="shared" si="0"/>
        <v>0.2773214285714286</v>
      </c>
      <c r="AF53" s="79">
        <f t="shared" si="1"/>
        <v>0.07272727272727272</v>
      </c>
      <c r="AG53" s="79">
        <f t="shared" si="2"/>
        <v>5.37</v>
      </c>
      <c r="AH53" s="79">
        <f t="shared" si="3"/>
        <v>416.1428571428571</v>
      </c>
      <c r="AI53" s="79">
        <f t="shared" si="4"/>
        <v>8.428571428571427</v>
      </c>
      <c r="AJ53" s="79">
        <f t="shared" si="5"/>
        <v>1.7857142857142858</v>
      </c>
      <c r="AK53" s="79">
        <f t="shared" si="6"/>
        <v>0.4838709677419355</v>
      </c>
      <c r="AL53" s="79">
        <f t="shared" si="7"/>
        <v>13.184615384615386</v>
      </c>
      <c r="AM53" s="79">
        <f t="shared" si="8"/>
        <v>29.089999999999996</v>
      </c>
      <c r="AN53" s="79">
        <f t="shared" si="9"/>
        <v>26.616666666666667</v>
      </c>
      <c r="AO53" s="79">
        <f t="shared" si="10"/>
        <v>149.65217391304347</v>
      </c>
      <c r="AP53" s="79">
        <f t="shared" si="11"/>
        <v>36.837500000000006</v>
      </c>
      <c r="AQ53" s="79">
        <f t="shared" si="12"/>
        <v>100.08571428571429</v>
      </c>
      <c r="AR53" s="69">
        <f t="shared" si="13"/>
        <v>0.28840315031266056</v>
      </c>
      <c r="AS53" s="79">
        <f t="shared" si="14"/>
        <v>4.838709677419355</v>
      </c>
      <c r="AT53" s="79"/>
      <c r="AU53" s="79">
        <f t="shared" si="16"/>
        <v>0.08387301587301586</v>
      </c>
      <c r="AV53" s="79">
        <f t="shared" si="17"/>
        <v>0.12806153846153848</v>
      </c>
      <c r="AW53" s="106">
        <f t="shared" si="33"/>
        <v>20.383334677171646</v>
      </c>
      <c r="AX53" s="69">
        <f t="shared" si="33"/>
        <v>10.16904896288593</v>
      </c>
      <c r="AY53" s="69"/>
      <c r="AZ53" s="69">
        <f t="shared" si="18"/>
        <v>10.214285714285714</v>
      </c>
      <c r="BA53" s="111">
        <f t="shared" si="32"/>
        <v>226.97202739289693</v>
      </c>
      <c r="BB53" s="111">
        <f t="shared" si="19"/>
        <v>138.70892857142857</v>
      </c>
      <c r="BC53" s="25">
        <f t="shared" si="20"/>
        <v>24.13664080173729</v>
      </c>
      <c r="BD53" s="80">
        <f>(('[1]setup'!$B$13*'[1]setup'!$B$14*'[1]setup'!$B$15)/10^(-S53))*10^6</f>
        <v>41.114385494622056</v>
      </c>
      <c r="BE53" s="74">
        <f t="shared" si="21"/>
        <v>57.43492470497377</v>
      </c>
      <c r="BF53" s="75">
        <f t="shared" si="22"/>
        <v>88.26309882146839</v>
      </c>
      <c r="BG53" s="73">
        <f t="shared" si="23"/>
        <v>227.26043054320962</v>
      </c>
      <c r="BH53" s="73">
        <f t="shared" si="24"/>
        <v>237.25823877102442</v>
      </c>
      <c r="BI53" s="76">
        <f t="shared" si="25"/>
        <v>2.1522941677617613</v>
      </c>
      <c r="BJ53" s="59"/>
      <c r="BK53" s="81">
        <f>(3*('[1]setup'!$D$19*(10^-S53)^3)+2*('[1]setup'!$D$20*'[1]setup'!$D$19*((10^-S53)^2))+('[1]setup'!$D$21*'[1]setup'!$D$19*10^-S53)+('[1]setup'!$D$19*'[1]setup'!$D$22*(AP53/(10^6*2))*(10^-S53)^3))*10^6</f>
        <v>0.0003138848771680981</v>
      </c>
      <c r="BL53" s="82">
        <f t="shared" si="26"/>
        <v>47.43743036203617</v>
      </c>
      <c r="BM53" s="75">
        <f>(BL53/((('[1]setup'!$C$26)/10^-S53)+2*(('[1]setup'!$C$26*'[1]setup'!$C$27)/(10^-S53^2))+3*(('[1]setup'!$C$26*'[1]setup'!$C$27*'[1]setup'!$C$28)/(10^-S53^3))))/(10^-S53^3/(10^-S53^3+'[1]setup'!$C$26*10^-S53^2+'[1]setup'!$C$26*'[1]setup'!$C$27*10^-S53+'[1]setup'!$C$26*'[1]setup'!$C$27*'[1]setup'!$C$28))</f>
        <v>18.680603047994214</v>
      </c>
      <c r="BN53" s="75"/>
      <c r="BO53" s="137">
        <f t="shared" si="27"/>
        <v>226.97202739289696</v>
      </c>
      <c r="BP53" s="137">
        <f t="shared" si="28"/>
        <v>138.70892857142857</v>
      </c>
      <c r="BQ53" s="137">
        <f t="shared" si="29"/>
        <v>1.63631879887254</v>
      </c>
      <c r="BR53" s="137">
        <f t="shared" si="30"/>
        <v>79.83452739289694</v>
      </c>
      <c r="BS53" s="137">
        <f t="shared" si="31"/>
        <v>1.4952401047549304</v>
      </c>
    </row>
    <row r="54" spans="1:71" ht="12.75">
      <c r="A54" s="26">
        <v>39293</v>
      </c>
      <c r="B54" s="5">
        <v>14.15</v>
      </c>
      <c r="C54" s="1" t="s">
        <v>90</v>
      </c>
      <c r="D54" s="83">
        <v>901387</v>
      </c>
      <c r="E54" s="1"/>
      <c r="F54" s="98">
        <v>0.01615</v>
      </c>
      <c r="G54" s="101">
        <f>G6</f>
        <v>0.002</v>
      </c>
      <c r="H54" s="99">
        <v>0.05202</v>
      </c>
      <c r="I54" s="100">
        <v>2.811</v>
      </c>
      <c r="J54" s="5">
        <f>J6</f>
        <v>0.01</v>
      </c>
      <c r="K54" s="9">
        <f>K6</f>
        <v>0.025</v>
      </c>
      <c r="L54" s="5">
        <v>0.005</v>
      </c>
      <c r="M54" s="100">
        <v>0.2068</v>
      </c>
      <c r="N54" s="99">
        <v>0.7567</v>
      </c>
      <c r="O54" s="100">
        <v>0.356</v>
      </c>
      <c r="P54" s="100">
        <v>2.979</v>
      </c>
      <c r="Q54" s="9">
        <v>0.5456</v>
      </c>
      <c r="R54" s="9">
        <v>2.444</v>
      </c>
      <c r="S54" s="16">
        <v>6.57</v>
      </c>
      <c r="T54" s="16">
        <v>19.8</v>
      </c>
      <c r="U54" s="9">
        <v>20.991</v>
      </c>
      <c r="V54" s="101">
        <f>V6</f>
        <v>0.05</v>
      </c>
      <c r="W54" s="100"/>
      <c r="X54" s="101">
        <f>X6</f>
        <v>0.002</v>
      </c>
      <c r="Y54" s="99">
        <v>0.02704</v>
      </c>
      <c r="Z54" s="33">
        <v>2.996</v>
      </c>
      <c r="AA54" s="16">
        <v>0.1098</v>
      </c>
      <c r="AB54" s="76">
        <v>0.07479999999999999</v>
      </c>
      <c r="AE54" s="106">
        <f t="shared" si="0"/>
        <v>0.5767857142857143</v>
      </c>
      <c r="AF54" s="79">
        <f t="shared" si="1"/>
        <v>0.07272727272727272</v>
      </c>
      <c r="AG54" s="79">
        <f t="shared" si="2"/>
        <v>5.779999999999999</v>
      </c>
      <c r="AH54" s="79">
        <f t="shared" si="3"/>
        <v>401.57142857142856</v>
      </c>
      <c r="AI54" s="79">
        <f t="shared" si="4"/>
        <v>0.7142857142857143</v>
      </c>
      <c r="AJ54" s="79">
        <f t="shared" si="5"/>
        <v>1.7857142857142858</v>
      </c>
      <c r="AK54" s="79">
        <f t="shared" si="6"/>
        <v>0.4838709677419355</v>
      </c>
      <c r="AL54" s="79">
        <f t="shared" si="7"/>
        <v>5.302564102564103</v>
      </c>
      <c r="AM54" s="79">
        <f t="shared" si="8"/>
        <v>37.835</v>
      </c>
      <c r="AN54" s="79">
        <f t="shared" si="9"/>
        <v>29.666666666666664</v>
      </c>
      <c r="AO54" s="79">
        <f t="shared" si="10"/>
        <v>129.5217391304348</v>
      </c>
      <c r="AP54" s="79">
        <f t="shared" si="11"/>
        <v>34.1</v>
      </c>
      <c r="AQ54" s="79">
        <f t="shared" si="12"/>
        <v>69.82857142857142</v>
      </c>
      <c r="AR54" s="69">
        <f t="shared" si="13"/>
        <v>0.2691534803926914</v>
      </c>
      <c r="AS54" s="79">
        <f t="shared" si="14"/>
        <v>4.838709677419355</v>
      </c>
      <c r="AT54" s="79"/>
      <c r="AU54" s="79">
        <f t="shared" si="16"/>
        <v>0.06349206349206349</v>
      </c>
      <c r="AV54" s="79">
        <f t="shared" si="17"/>
        <v>0.8320000000000001</v>
      </c>
      <c r="AW54" s="106">
        <f t="shared" si="33"/>
        <v>7.8428571428571425</v>
      </c>
      <c r="AX54" s="69">
        <f t="shared" si="33"/>
        <v>5.3428571428571425</v>
      </c>
      <c r="AY54" s="69"/>
      <c r="AZ54" s="69">
        <f t="shared" si="18"/>
        <v>2.5</v>
      </c>
      <c r="BA54" s="111">
        <f t="shared" si="32"/>
        <v>203.0402556139513</v>
      </c>
      <c r="BB54" s="111">
        <f t="shared" si="19"/>
        <v>105.71428571428571</v>
      </c>
      <c r="BC54" s="25">
        <f t="shared" si="20"/>
        <v>31.52211769290167</v>
      </c>
      <c r="BD54" s="80">
        <f>(('[1]setup'!$B$13*'[1]setup'!$B$14*'[1]setup'!$B$15)/10^(-S54))*10^6</f>
        <v>44.0548577804686</v>
      </c>
      <c r="BE54" s="74">
        <f t="shared" si="21"/>
        <v>28.762182278068114</v>
      </c>
      <c r="BF54" s="75">
        <f t="shared" si="22"/>
        <v>97.3259698996656</v>
      </c>
      <c r="BG54" s="73">
        <f t="shared" si="23"/>
        <v>203.309409094344</v>
      </c>
      <c r="BH54" s="73">
        <f t="shared" si="24"/>
        <v>178.53132577282244</v>
      </c>
      <c r="BI54" s="76">
        <f t="shared" si="25"/>
        <v>6.489114716935919</v>
      </c>
      <c r="BJ54" s="59"/>
      <c r="BK54" s="81">
        <f>(3*('[1]setup'!$D$19*(10^-S54)^3)+2*('[1]setup'!$D$20*'[1]setup'!$D$19*((10^-S54)^2))+('[1]setup'!$D$21*'[1]setup'!$D$19*10^-S54)+('[1]setup'!$D$19*'[1]setup'!$D$22*(AP54/(10^6*2))*(10^-S54)^3))*10^6</f>
        <v>0.0002887185287735458</v>
      </c>
      <c r="BL54" s="82">
        <f t="shared" si="26"/>
        <v>53.54055431811847</v>
      </c>
      <c r="BM54" s="75">
        <f>(BL54/((('[1]setup'!$C$26)/10^-S54)+2*(('[1]setup'!$C$26*'[1]setup'!$C$27)/(10^-S54^2))+3*(('[1]setup'!$C$26*'[1]setup'!$C$27*'[1]setup'!$C$28)/(10^-S54^3))))/(10^-S54^3/(10^-S54^3+'[1]setup'!$C$26*10^-S54^2+'[1]setup'!$C$26*'[1]setup'!$C$27*10^-S54+'[1]setup'!$C$26*'[1]setup'!$C$27*'[1]setup'!$C$28))</f>
        <v>20.938363682450714</v>
      </c>
      <c r="BN54" s="75"/>
      <c r="BO54" s="137">
        <f t="shared" si="27"/>
        <v>203.0402556139513</v>
      </c>
      <c r="BP54" s="137">
        <f t="shared" si="28"/>
        <v>105.71428571428571</v>
      </c>
      <c r="BQ54" s="137">
        <f t="shared" si="29"/>
        <v>1.9206510666184584</v>
      </c>
      <c r="BR54" s="137">
        <f t="shared" si="30"/>
        <v>96.61168418537987</v>
      </c>
      <c r="BS54" s="137">
        <f t="shared" si="31"/>
        <v>1.8548530562869143</v>
      </c>
    </row>
    <row r="55" spans="1:71" ht="12.75">
      <c r="A55" s="104">
        <v>39328</v>
      </c>
      <c r="B55" s="5">
        <v>17.45</v>
      </c>
      <c r="C55" s="5" t="s">
        <v>90</v>
      </c>
      <c r="D55" s="83">
        <v>903872</v>
      </c>
      <c r="E55" s="1"/>
      <c r="F55" s="98">
        <v>0.01517</v>
      </c>
      <c r="G55" s="101">
        <f>G6</f>
        <v>0.002</v>
      </c>
      <c r="H55" s="99">
        <v>0.03521</v>
      </c>
      <c r="I55" s="100">
        <v>3.002</v>
      </c>
      <c r="J55" s="1">
        <f>J6</f>
        <v>0.01</v>
      </c>
      <c r="K55" s="9">
        <v>0.02852</v>
      </c>
      <c r="L55" s="1">
        <f>L6</f>
        <v>0.005</v>
      </c>
      <c r="M55" s="100">
        <v>0.2302</v>
      </c>
      <c r="N55" s="99">
        <v>0.6703</v>
      </c>
      <c r="O55" s="100">
        <v>0.3154</v>
      </c>
      <c r="P55" s="100">
        <v>3.074</v>
      </c>
      <c r="Q55" s="9">
        <v>0.5979</v>
      </c>
      <c r="R55" s="1">
        <v>2.853</v>
      </c>
      <c r="S55" s="20">
        <v>6.65</v>
      </c>
      <c r="T55" s="92">
        <v>20.1</v>
      </c>
      <c r="U55" s="1">
        <v>22.466</v>
      </c>
      <c r="V55" s="101">
        <f>V6</f>
        <v>0.05</v>
      </c>
      <c r="W55" s="100"/>
      <c r="X55" s="101">
        <f>X6</f>
        <v>0.002</v>
      </c>
      <c r="Y55" s="99">
        <v>0.002294</v>
      </c>
      <c r="Z55" s="33">
        <v>2.124</v>
      </c>
      <c r="AA55" s="33">
        <v>0.1196</v>
      </c>
      <c r="AB55" s="76">
        <v>0.08108</v>
      </c>
      <c r="AE55" s="106">
        <f t="shared" si="0"/>
        <v>0.5417857142857143</v>
      </c>
      <c r="AF55" s="79">
        <f t="shared" si="1"/>
        <v>0.07272727272727272</v>
      </c>
      <c r="AG55" s="79">
        <f t="shared" si="2"/>
        <v>3.9122222222222223</v>
      </c>
      <c r="AH55" s="79">
        <f t="shared" si="3"/>
        <v>428.85714285714283</v>
      </c>
      <c r="AI55" s="79">
        <f t="shared" si="4"/>
        <v>0.7142857142857143</v>
      </c>
      <c r="AJ55" s="79">
        <f t="shared" si="5"/>
        <v>2.0371428571428574</v>
      </c>
      <c r="AK55" s="79">
        <f t="shared" si="6"/>
        <v>0.4838709677419355</v>
      </c>
      <c r="AL55" s="79">
        <f t="shared" si="7"/>
        <v>5.902564102564102</v>
      </c>
      <c r="AM55" s="79">
        <f t="shared" si="8"/>
        <v>33.515</v>
      </c>
      <c r="AN55" s="79">
        <f t="shared" si="9"/>
        <v>26.283333333333335</v>
      </c>
      <c r="AO55" s="79">
        <f t="shared" si="10"/>
        <v>133.65217391304347</v>
      </c>
      <c r="AP55" s="79">
        <f t="shared" si="11"/>
        <v>37.36875</v>
      </c>
      <c r="AQ55" s="79">
        <f t="shared" si="12"/>
        <v>81.51428571428572</v>
      </c>
      <c r="AR55" s="69">
        <f t="shared" si="13"/>
        <v>0.22387211385683375</v>
      </c>
      <c r="AS55" s="79">
        <f t="shared" si="14"/>
        <v>4.838709677419355</v>
      </c>
      <c r="AT55" s="79"/>
      <c r="AU55" s="79">
        <f t="shared" si="16"/>
        <v>0.06349206349206349</v>
      </c>
      <c r="AV55" s="79">
        <f t="shared" si="17"/>
        <v>0.07058461538461538</v>
      </c>
      <c r="AW55" s="106">
        <f t="shared" si="33"/>
        <v>8.542857142857143</v>
      </c>
      <c r="AX55" s="69">
        <f t="shared" si="33"/>
        <v>5.791428571428572</v>
      </c>
      <c r="AY55" s="69"/>
      <c r="AZ55" s="69">
        <f t="shared" si="18"/>
        <v>2.751428571428572</v>
      </c>
      <c r="BA55" s="111">
        <f t="shared" si="32"/>
        <v>200.0673570632266</v>
      </c>
      <c r="BB55" s="111">
        <f t="shared" si="19"/>
        <v>120.92017857142858</v>
      </c>
      <c r="BC55" s="25">
        <f t="shared" si="20"/>
        <v>24.657399339606307</v>
      </c>
      <c r="BD55" s="80">
        <f>(('[1]setup'!$B$13*'[1]setup'!$B$14*'[1]setup'!$B$15)/10^(-S55))*10^6</f>
        <v>52.96558868158559</v>
      </c>
      <c r="BE55" s="74">
        <f t="shared" si="21"/>
        <v>20.478583281148936</v>
      </c>
      <c r="BF55" s="75">
        <f t="shared" si="22"/>
        <v>79.14717849179804</v>
      </c>
      <c r="BG55" s="73">
        <f t="shared" si="23"/>
        <v>200.29122917708344</v>
      </c>
      <c r="BH55" s="73">
        <f t="shared" si="24"/>
        <v>194.3643505341631</v>
      </c>
      <c r="BI55" s="76">
        <f t="shared" si="25"/>
        <v>1.5017850874569667</v>
      </c>
      <c r="BJ55" s="59"/>
      <c r="BK55" s="81">
        <f>(3*('[1]setup'!$D$19*(10^-S55)^3)+2*('[1]setup'!$D$20*'[1]setup'!$D$19*((10^-S55)^2))+('[1]setup'!$D$21*'[1]setup'!$D$19*10^-S55)+('[1]setup'!$D$19*'[1]setup'!$D$22*(AP55/(10^6*2))*(10^-S55)^3))*10^6</f>
        <v>0.0002321006060593861</v>
      </c>
      <c r="BL55" s="82">
        <f t="shared" si="26"/>
        <v>26.40569402467537</v>
      </c>
      <c r="BM55" s="75">
        <f>(BL55/((('[1]setup'!$C$26)/10^-S55)+2*(('[1]setup'!$C$26*'[1]setup'!$C$27)/(10^-S55^2))+3*(('[1]setup'!$C$26*'[1]setup'!$C$27*'[1]setup'!$C$28)/(10^-S55^3))))/(10^-S55^3/(10^-S55^3+'[1]setup'!$C$26*10^-S55^2+'[1]setup'!$C$26*'[1]setup'!$C$27*10^-S55+'[1]setup'!$C$26*'[1]setup'!$C$27*'[1]setup'!$C$28))</f>
        <v>10.143930404556494</v>
      </c>
      <c r="BN55" s="75"/>
      <c r="BO55" s="137">
        <f t="shared" si="27"/>
        <v>200.0673570632266</v>
      </c>
      <c r="BP55" s="137">
        <f t="shared" si="28"/>
        <v>120.92017857142858</v>
      </c>
      <c r="BQ55" s="137">
        <f t="shared" si="29"/>
        <v>1.654540701368921</v>
      </c>
      <c r="BR55" s="137">
        <f t="shared" si="30"/>
        <v>78.43289277751231</v>
      </c>
      <c r="BS55" s="137">
        <f t="shared" si="31"/>
        <v>1.6396165744677607</v>
      </c>
    </row>
    <row r="56" spans="1:71" ht="12.75">
      <c r="A56" s="104">
        <v>39348</v>
      </c>
      <c r="B56" s="20">
        <v>19</v>
      </c>
      <c r="C56" s="1" t="s">
        <v>90</v>
      </c>
      <c r="D56" s="83">
        <v>906161</v>
      </c>
      <c r="F56" s="98">
        <v>0.03062</v>
      </c>
      <c r="G56" s="101">
        <f>G6</f>
        <v>0.002</v>
      </c>
      <c r="H56" s="99">
        <v>0.0626</v>
      </c>
      <c r="I56" s="100">
        <v>3.022</v>
      </c>
      <c r="J56" s="1">
        <f>J6</f>
        <v>0.01</v>
      </c>
      <c r="K56" s="4">
        <f>K6</f>
        <v>0.025</v>
      </c>
      <c r="L56" s="1">
        <v>0.007</v>
      </c>
      <c r="M56" s="100">
        <v>0.2353</v>
      </c>
      <c r="N56" s="99">
        <v>0.7308</v>
      </c>
      <c r="O56" s="100">
        <v>0.3399</v>
      </c>
      <c r="P56" s="100">
        <v>3.497</v>
      </c>
      <c r="Q56" s="20">
        <v>0.576923</v>
      </c>
      <c r="R56" s="20">
        <v>3.10125</v>
      </c>
      <c r="S56" s="1">
        <v>6.81</v>
      </c>
      <c r="T56" s="16">
        <v>14.7</v>
      </c>
      <c r="U56" s="134">
        <v>24.122</v>
      </c>
      <c r="V56" s="101">
        <f>V6</f>
        <v>0.05</v>
      </c>
      <c r="W56" s="100"/>
      <c r="X56" s="98">
        <v>0.002659</v>
      </c>
      <c r="Y56" s="99">
        <v>0.002136</v>
      </c>
      <c r="Z56" s="33">
        <v>3.582</v>
      </c>
      <c r="AA56" s="33">
        <v>0.1794</v>
      </c>
      <c r="AB56" s="76">
        <v>0.1444</v>
      </c>
      <c r="AE56" s="106">
        <f t="shared" si="0"/>
        <v>1.0935714285714286</v>
      </c>
      <c r="AF56" s="79">
        <f t="shared" si="1"/>
        <v>0.07272727272727272</v>
      </c>
      <c r="AG56" s="79">
        <f t="shared" si="2"/>
        <v>6.955555555555557</v>
      </c>
      <c r="AH56" s="79">
        <f t="shared" si="3"/>
        <v>431.71428571428567</v>
      </c>
      <c r="AI56" s="79">
        <f t="shared" si="4"/>
        <v>0.7142857142857143</v>
      </c>
      <c r="AJ56" s="79">
        <f t="shared" si="5"/>
        <v>1.7857142857142858</v>
      </c>
      <c r="AK56" s="79">
        <f t="shared" si="6"/>
        <v>0.6774193548387097</v>
      </c>
      <c r="AL56" s="79">
        <f t="shared" si="7"/>
        <v>6.033333333333333</v>
      </c>
      <c r="AM56" s="79">
        <f t="shared" si="8"/>
        <v>36.540000000000006</v>
      </c>
      <c r="AN56" s="79">
        <f t="shared" si="9"/>
        <v>28.325</v>
      </c>
      <c r="AO56" s="79">
        <f t="shared" si="10"/>
        <v>152.04347826086956</v>
      </c>
      <c r="AP56" s="79">
        <f t="shared" si="11"/>
        <v>36.0576875</v>
      </c>
      <c r="AQ56" s="79">
        <f t="shared" si="12"/>
        <v>88.60714285714286</v>
      </c>
      <c r="AR56" s="69">
        <f t="shared" si="13"/>
        <v>0.15488166189124825</v>
      </c>
      <c r="AS56" s="79">
        <f t="shared" si="14"/>
        <v>4.838709677419355</v>
      </c>
      <c r="AT56" s="79"/>
      <c r="AU56" s="79">
        <f t="shared" si="16"/>
        <v>0.08441269841269841</v>
      </c>
      <c r="AV56" s="79">
        <f t="shared" si="17"/>
        <v>0.06572307692307693</v>
      </c>
      <c r="AW56" s="106">
        <f t="shared" si="33"/>
        <v>12.814285714285713</v>
      </c>
      <c r="AX56" s="69">
        <f t="shared" si="33"/>
        <v>10.314285714285715</v>
      </c>
      <c r="AY56" s="69"/>
      <c r="AZ56" s="69">
        <f t="shared" si="18"/>
        <v>2.5</v>
      </c>
      <c r="BA56" s="111">
        <f t="shared" si="32"/>
        <v>223.65609730848863</v>
      </c>
      <c r="BB56" s="111">
        <f t="shared" si="19"/>
        <v>126.45054464285715</v>
      </c>
      <c r="BC56" s="25">
        <f t="shared" si="20"/>
        <v>27.764555429125537</v>
      </c>
      <c r="BD56" s="80">
        <f>(('[1]setup'!$B$13*'[1]setup'!$B$14*'[1]setup'!$B$15)/10^(-S56))*10^6</f>
        <v>76.55856836133404</v>
      </c>
      <c r="BE56" s="74">
        <f t="shared" si="21"/>
        <v>34.79241748482779</v>
      </c>
      <c r="BF56" s="75">
        <f t="shared" si="22"/>
        <v>97.20555266563147</v>
      </c>
      <c r="BG56" s="73">
        <f t="shared" si="23"/>
        <v>223.81097897037986</v>
      </c>
      <c r="BH56" s="73">
        <f t="shared" si="24"/>
        <v>237.80153048901897</v>
      </c>
      <c r="BI56" s="76">
        <f t="shared" si="25"/>
        <v>3.030799909435654</v>
      </c>
      <c r="BJ56" s="59"/>
      <c r="BK56" s="81">
        <f>(3*('[1]setup'!$D$19*(10^-S56)^3)+2*('[1]setup'!$D$20*'[1]setup'!$D$19*((10^-S56)^2))+('[1]setup'!$D$21*'[1]setup'!$D$19*10^-S56)+('[1]setup'!$D$19*'[1]setup'!$D$22*(AP56/(10^6*2))*(10^-S56)^3))*10^6</f>
        <v>0.00015246007016302994</v>
      </c>
      <c r="BL56" s="82">
        <f t="shared" si="26"/>
        <v>20.802018426258826</v>
      </c>
      <c r="BM56" s="75">
        <f>(BL56/((('[1]setup'!$C$26)/10^-S56)+2*(('[1]setup'!$C$26*'[1]setup'!$C$27)/(10^-S56^2))+3*(('[1]setup'!$C$26*'[1]setup'!$C$27*'[1]setup'!$C$28)/(10^-S56^3))))/(10^-S56^3/(10^-S56^3+'[1]setup'!$C$26*10^-S56^2+'[1]setup'!$C$26*'[1]setup'!$C$27*10^-S56+'[1]setup'!$C$26*'[1]setup'!$C$27*'[1]setup'!$C$28))</f>
        <v>7.737054850923142</v>
      </c>
      <c r="BN56" s="75"/>
      <c r="BO56" s="137">
        <f t="shared" si="27"/>
        <v>223.6560973084886</v>
      </c>
      <c r="BP56" s="137">
        <f t="shared" si="28"/>
        <v>126.45054464285715</v>
      </c>
      <c r="BQ56" s="137">
        <f t="shared" si="29"/>
        <v>1.7687238749360525</v>
      </c>
      <c r="BR56" s="137">
        <f t="shared" si="30"/>
        <v>96.49126695134575</v>
      </c>
      <c r="BS56" s="137">
        <f t="shared" si="31"/>
        <v>1.7159280093931268</v>
      </c>
    </row>
    <row r="57" spans="1:75" ht="12.75">
      <c r="A57" s="104">
        <v>39364</v>
      </c>
      <c r="B57" s="20">
        <v>11.5</v>
      </c>
      <c r="C57" s="5" t="s">
        <v>90</v>
      </c>
      <c r="D57" s="1">
        <v>907153</v>
      </c>
      <c r="E57" s="24"/>
      <c r="F57" s="98">
        <v>0.01795</v>
      </c>
      <c r="G57" s="101">
        <f>G6</f>
        <v>0.002</v>
      </c>
      <c r="H57" s="99">
        <v>0.04386</v>
      </c>
      <c r="I57" s="100">
        <v>3.428</v>
      </c>
      <c r="J57" s="9">
        <v>0.02</v>
      </c>
      <c r="K57" s="16">
        <f>K6</f>
        <v>0.025</v>
      </c>
      <c r="L57" s="1">
        <v>0.007</v>
      </c>
      <c r="M57" s="100">
        <v>0.3185</v>
      </c>
      <c r="N57" s="99">
        <v>0.8622</v>
      </c>
      <c r="O57" s="100">
        <v>0.4438</v>
      </c>
      <c r="P57" s="100">
        <v>3.294</v>
      </c>
      <c r="Q57" s="16">
        <v>0.634444</v>
      </c>
      <c r="R57" s="16">
        <v>3.12672</v>
      </c>
      <c r="S57" s="1">
        <v>6.67</v>
      </c>
      <c r="T57" s="1">
        <v>13.6</v>
      </c>
      <c r="U57" s="35">
        <v>22.583</v>
      </c>
      <c r="V57" s="101">
        <f>V6</f>
        <v>0.05</v>
      </c>
      <c r="W57" s="100"/>
      <c r="X57" s="101">
        <f>X6</f>
        <v>0.002</v>
      </c>
      <c r="Y57" s="99">
        <v>0.006342</v>
      </c>
      <c r="Z57" s="33">
        <v>2.201</v>
      </c>
      <c r="AA57" s="1">
        <f>AA6</f>
        <v>0.01</v>
      </c>
      <c r="AB57" s="76">
        <v>-0.034999999999999996</v>
      </c>
      <c r="AE57" s="106">
        <f t="shared" si="0"/>
        <v>0.6410714285714285</v>
      </c>
      <c r="AF57" s="79">
        <f t="shared" si="1"/>
        <v>0.07272727272727272</v>
      </c>
      <c r="AG57" s="79">
        <f t="shared" si="2"/>
        <v>4.873333333333334</v>
      </c>
      <c r="AH57" s="79">
        <f t="shared" si="3"/>
        <v>489.7142857142857</v>
      </c>
      <c r="AI57" s="79">
        <f t="shared" si="4"/>
        <v>1.4285714285714286</v>
      </c>
      <c r="AJ57" s="79">
        <f t="shared" si="5"/>
        <v>1.7857142857142858</v>
      </c>
      <c r="AK57" s="79">
        <f t="shared" si="6"/>
        <v>0.6774193548387097</v>
      </c>
      <c r="AL57" s="79">
        <f t="shared" si="7"/>
        <v>8.166666666666668</v>
      </c>
      <c r="AM57" s="79">
        <f t="shared" si="8"/>
        <v>43.10999999999999</v>
      </c>
      <c r="AN57" s="79">
        <f t="shared" si="9"/>
        <v>36.983333333333334</v>
      </c>
      <c r="AO57" s="79">
        <f t="shared" si="10"/>
        <v>143.2173913043478</v>
      </c>
      <c r="AP57" s="79">
        <f t="shared" si="11"/>
        <v>39.65275</v>
      </c>
      <c r="AQ57" s="79">
        <f t="shared" si="12"/>
        <v>89.33485714285715</v>
      </c>
      <c r="AR57" s="69">
        <f t="shared" si="13"/>
        <v>0.21379620895022322</v>
      </c>
      <c r="AS57" s="79">
        <f t="shared" si="14"/>
        <v>4.838709677419355</v>
      </c>
      <c r="AT57" s="79"/>
      <c r="AU57" s="79">
        <f t="shared" si="16"/>
        <v>0.06349206349206349</v>
      </c>
      <c r="AV57" s="79">
        <f t="shared" si="17"/>
        <v>0.19513846153846157</v>
      </c>
      <c r="AW57" s="106">
        <f t="shared" si="33"/>
        <v>0.7142857142857143</v>
      </c>
      <c r="AX57" s="69">
        <f t="shared" si="33"/>
        <v>-2.4999999999999996</v>
      </c>
      <c r="AY57" s="69"/>
      <c r="AZ57" s="69">
        <f t="shared" si="18"/>
        <v>3.2142857142857144</v>
      </c>
      <c r="BA57" s="111">
        <f t="shared" si="32"/>
        <v>232.90596273291922</v>
      </c>
      <c r="BB57" s="111">
        <f t="shared" si="19"/>
        <v>130.77332142857142</v>
      </c>
      <c r="BC57" s="25">
        <f t="shared" si="20"/>
        <v>28.08316166256974</v>
      </c>
      <c r="BD57" s="80">
        <f>(('[1]setup'!$B$13*'[1]setup'!$B$14*'[1]setup'!$B$15)/10^(-S57))*10^6</f>
        <v>55.46177997280986</v>
      </c>
      <c r="BE57" s="74">
        <f t="shared" si="21"/>
        <v>21.242397413290337</v>
      </c>
      <c r="BF57" s="75">
        <f t="shared" si="22"/>
        <v>102.1326413043478</v>
      </c>
      <c r="BG57" s="73">
        <f t="shared" si="23"/>
        <v>233.11975894186943</v>
      </c>
      <c r="BH57" s="73">
        <f t="shared" si="24"/>
        <v>207.47749881467163</v>
      </c>
      <c r="BI57" s="76">
        <f t="shared" si="25"/>
        <v>5.819886455436551</v>
      </c>
      <c r="BJ57" s="59"/>
      <c r="BK57" s="81">
        <f>(3*('[1]setup'!$D$19*(10^-S57)^3)+2*('[1]setup'!$D$20*'[1]setup'!$D$19*((10^-S57)^2))+('[1]setup'!$D$21*'[1]setup'!$D$19*10^-S57)+('[1]setup'!$D$19*'[1]setup'!$D$22*(AP57/(10^6*2))*(10^-S57)^3))*10^6</f>
        <v>0.00021998119136334496</v>
      </c>
      <c r="BL57" s="82">
        <f t="shared" si="26"/>
        <v>46.8848775216795</v>
      </c>
      <c r="BM57" s="75">
        <f>(BL57/((('[1]setup'!$C$26)/10^-S57)+2*(('[1]setup'!$C$26*'[1]setup'!$C$27)/(10^-S57^2))+3*(('[1]setup'!$C$26*'[1]setup'!$C$27*'[1]setup'!$C$28)/(10^-S57^3))))/(10^-S57^3/(10^-S57^3+'[1]setup'!$C$26*10^-S57^2+'[1]setup'!$C$26*'[1]setup'!$C$27*10^-S57+'[1]setup'!$C$26*'[1]setup'!$C$27*'[1]setup'!$C$28))</f>
        <v>17.93385239646992</v>
      </c>
      <c r="BN57" s="75"/>
      <c r="BO57" s="137">
        <f t="shared" si="27"/>
        <v>232.90596273291925</v>
      </c>
      <c r="BP57" s="137">
        <f t="shared" si="28"/>
        <v>130.77332142857142</v>
      </c>
      <c r="BQ57" s="137">
        <f t="shared" si="29"/>
        <v>1.7809898853118358</v>
      </c>
      <c r="BR57" s="137">
        <f t="shared" si="30"/>
        <v>100.70406987577638</v>
      </c>
      <c r="BS57" s="137">
        <f t="shared" si="31"/>
        <v>1.6031524075235946</v>
      </c>
      <c r="BU57" s="2"/>
      <c r="BV57" s="1"/>
      <c r="BW57" s="8"/>
    </row>
    <row r="58" spans="1:75" s="36" customFormat="1" ht="12.75">
      <c r="A58" s="173">
        <v>39428</v>
      </c>
      <c r="B58" s="122">
        <v>13.3</v>
      </c>
      <c r="C58" s="35" t="s">
        <v>90</v>
      </c>
      <c r="D58" s="174">
        <v>913922</v>
      </c>
      <c r="E58" s="175"/>
      <c r="F58" s="98">
        <v>0.01873</v>
      </c>
      <c r="G58" s="98">
        <f>G6</f>
        <v>0.002</v>
      </c>
      <c r="H58" s="99">
        <v>0.05915</v>
      </c>
      <c r="I58" s="100">
        <v>2.848</v>
      </c>
      <c r="J58" s="176">
        <v>0.016</v>
      </c>
      <c r="K58" s="134">
        <v>0.03228</v>
      </c>
      <c r="L58" s="176">
        <v>0.007</v>
      </c>
      <c r="M58" s="100">
        <v>0.3747</v>
      </c>
      <c r="N58" s="99">
        <v>0.4647</v>
      </c>
      <c r="O58" s="100">
        <v>0.3195</v>
      </c>
      <c r="P58" s="100">
        <v>3.026</v>
      </c>
      <c r="Q58" s="134">
        <v>0.5413</v>
      </c>
      <c r="R58" s="35">
        <v>2.851</v>
      </c>
      <c r="S58" s="35">
        <v>6.38</v>
      </c>
      <c r="T58" s="177">
        <v>14.1</v>
      </c>
      <c r="U58" s="35">
        <v>20.469</v>
      </c>
      <c r="V58" s="101">
        <f>V6</f>
        <v>0.05</v>
      </c>
      <c r="W58" s="100"/>
      <c r="X58" s="98">
        <f>X6</f>
        <v>0.002</v>
      </c>
      <c r="Y58" s="101">
        <f>Y6</f>
        <v>0.002</v>
      </c>
      <c r="Z58" s="178">
        <v>2.779</v>
      </c>
      <c r="AA58" s="178">
        <v>0.1257</v>
      </c>
      <c r="AB58" s="179">
        <v>0.07742</v>
      </c>
      <c r="AE58" s="180">
        <f t="shared" si="0"/>
        <v>0.6689285714285714</v>
      </c>
      <c r="AF58" s="181">
        <f t="shared" si="1"/>
        <v>0.07272727272727272</v>
      </c>
      <c r="AG58" s="181">
        <f t="shared" si="2"/>
        <v>6.572222222222222</v>
      </c>
      <c r="AH58" s="181">
        <f t="shared" si="3"/>
        <v>406.8571428571429</v>
      </c>
      <c r="AI58" s="181">
        <f t="shared" si="4"/>
        <v>1.142857142857143</v>
      </c>
      <c r="AJ58" s="181">
        <f t="shared" si="5"/>
        <v>2.305714285714286</v>
      </c>
      <c r="AK58" s="181">
        <f t="shared" si="6"/>
        <v>0.6774193548387097</v>
      </c>
      <c r="AL58" s="181">
        <f t="shared" si="7"/>
        <v>9.607692307692307</v>
      </c>
      <c r="AM58" s="181">
        <f t="shared" si="8"/>
        <v>23.235</v>
      </c>
      <c r="AN58" s="181">
        <f t="shared" si="9"/>
        <v>26.625</v>
      </c>
      <c r="AO58" s="181">
        <f t="shared" si="10"/>
        <v>131.56521739130434</v>
      </c>
      <c r="AP58" s="181">
        <f t="shared" si="11"/>
        <v>33.83125</v>
      </c>
      <c r="AQ58" s="181">
        <f t="shared" si="12"/>
        <v>81.45714285714286</v>
      </c>
      <c r="AR58" s="182">
        <f t="shared" si="13"/>
        <v>0.4168693834703355</v>
      </c>
      <c r="AS58" s="181">
        <f t="shared" si="14"/>
        <v>4.838709677419355</v>
      </c>
      <c r="AT58" s="181"/>
      <c r="AU58" s="181">
        <f t="shared" si="16"/>
        <v>0.06349206349206349</v>
      </c>
      <c r="AV58" s="181">
        <f t="shared" si="17"/>
        <v>0.061538461538461535</v>
      </c>
      <c r="AW58" s="180">
        <f t="shared" si="33"/>
        <v>8.97857142857143</v>
      </c>
      <c r="AX58" s="182">
        <f t="shared" si="33"/>
        <v>5.53</v>
      </c>
      <c r="AY58" s="182"/>
      <c r="AZ58" s="182">
        <f t="shared" si="18"/>
        <v>3.4485714285714293</v>
      </c>
      <c r="BA58" s="183">
        <f t="shared" si="32"/>
        <v>192.1757668418538</v>
      </c>
      <c r="BB58" s="183">
        <f t="shared" si="19"/>
        <v>117.59410714285714</v>
      </c>
      <c r="BC58" s="184">
        <f t="shared" si="20"/>
        <v>24.07647287956663</v>
      </c>
      <c r="BD58" s="163">
        <f>(('[1]setup'!$B$13*'[1]setup'!$B$14*'[1]setup'!$B$15)/10^(-S58))*10^6</f>
        <v>28.444205235479803</v>
      </c>
      <c r="BE58" s="185">
        <f t="shared" si="21"/>
        <v>26.359569651617313</v>
      </c>
      <c r="BF58" s="186">
        <f t="shared" si="22"/>
        <v>74.58165969899663</v>
      </c>
      <c r="BG58" s="187">
        <f t="shared" si="23"/>
        <v>192.5926362253241</v>
      </c>
      <c r="BH58" s="187">
        <f t="shared" si="24"/>
        <v>172.39788202995427</v>
      </c>
      <c r="BI58" s="179">
        <f t="shared" si="25"/>
        <v>5.532953100235165</v>
      </c>
      <c r="BJ58" s="188"/>
      <c r="BK58" s="123">
        <f>(3*('[1]setup'!$D$19*(10^-S58)^3)+2*('[1]setup'!$D$20*'[1]setup'!$D$19*((10^-S58)^2))+('[1]setup'!$D$21*'[1]setup'!$D$19*10^-S58)+('[1]setup'!$D$19*'[1]setup'!$D$22*(AP58/(10^6*2))*(10^-S58)^3))*10^6</f>
        <v>0.0004996317350973493</v>
      </c>
      <c r="BL58" s="189">
        <f t="shared" si="26"/>
        <v>46.554823478722255</v>
      </c>
      <c r="BM58" s="186">
        <f>(BL58/((('[1]setup'!$C$26)/10^-S58)+2*(('[1]setup'!$C$26*'[1]setup'!$C$27)/(10^-S58^2))+3*(('[1]setup'!$C$26*'[1]setup'!$C$27*'[1]setup'!$C$28)/(10^-S58^3))))/(10^-S58^3/(10^-S58^3+'[1]setup'!$C$26*10^-S58^2+'[1]setup'!$C$26*'[1]setup'!$C$27*10^-S58+'[1]setup'!$C$26*'[1]setup'!$C$27*'[1]setup'!$C$28))</f>
        <v>19.052984490580386</v>
      </c>
      <c r="BN58" s="186"/>
      <c r="BO58" s="190">
        <f t="shared" si="27"/>
        <v>192.1757668418538</v>
      </c>
      <c r="BP58" s="190">
        <f t="shared" si="28"/>
        <v>117.59410714285714</v>
      </c>
      <c r="BQ58" s="190">
        <f t="shared" si="29"/>
        <v>1.63422956737443</v>
      </c>
      <c r="BR58" s="190">
        <f t="shared" si="30"/>
        <v>73.43880255613952</v>
      </c>
      <c r="BS58" s="190">
        <f t="shared" si="31"/>
        <v>1.6151464779711162</v>
      </c>
      <c r="BU58" s="191"/>
      <c r="BV58" s="35"/>
      <c r="BW58" s="90"/>
    </row>
    <row r="59" spans="1:71" ht="12.75">
      <c r="A59" s="138">
        <v>39497</v>
      </c>
      <c r="B59" s="139">
        <v>12.4</v>
      </c>
      <c r="C59" s="15" t="s">
        <v>90</v>
      </c>
      <c r="D59" s="144">
        <v>922894</v>
      </c>
      <c r="F59" s="162">
        <v>0.006</v>
      </c>
      <c r="G59" s="162">
        <v>0.002</v>
      </c>
      <c r="H59" s="162">
        <v>0.02484</v>
      </c>
      <c r="I59" s="162">
        <v>3.007</v>
      </c>
      <c r="J59" s="9">
        <v>0.01</v>
      </c>
      <c r="K59" s="145">
        <v>0.03486</v>
      </c>
      <c r="L59" s="9">
        <v>0.005</v>
      </c>
      <c r="M59" s="162">
        <v>0.2623</v>
      </c>
      <c r="N59" s="162">
        <v>0.4807</v>
      </c>
      <c r="O59" s="162">
        <v>0.2621</v>
      </c>
      <c r="P59" s="162">
        <v>2.495</v>
      </c>
      <c r="Q59" s="145">
        <v>0.6463</v>
      </c>
      <c r="R59" s="145">
        <v>3.016</v>
      </c>
      <c r="S59" s="134">
        <v>6.46</v>
      </c>
      <c r="T59" s="134">
        <v>17.5</v>
      </c>
      <c r="U59" s="134">
        <v>21.784</v>
      </c>
      <c r="V59" s="162">
        <v>0.05</v>
      </c>
      <c r="W59" s="162"/>
      <c r="X59" s="162">
        <v>0.002</v>
      </c>
      <c r="Y59" s="162">
        <v>0.002</v>
      </c>
      <c r="Z59" s="33">
        <v>1.266</v>
      </c>
      <c r="AA59" s="33">
        <v>0.1166</v>
      </c>
      <c r="AB59" s="76">
        <v>0.07174</v>
      </c>
      <c r="AC59" s="146"/>
      <c r="AD59" s="147"/>
      <c r="AE59" s="106">
        <f t="shared" si="0"/>
        <v>0.2142857142857143</v>
      </c>
      <c r="AF59" s="79">
        <f t="shared" si="1"/>
        <v>0.07272727272727272</v>
      </c>
      <c r="AG59" s="79">
        <f t="shared" si="2"/>
        <v>2.7600000000000002</v>
      </c>
      <c r="AH59" s="79">
        <f t="shared" si="3"/>
        <v>429.5714285714286</v>
      </c>
      <c r="AI59" s="79">
        <f t="shared" si="4"/>
        <v>0.7142857142857143</v>
      </c>
      <c r="AJ59" s="79">
        <f t="shared" si="5"/>
        <v>2.49</v>
      </c>
      <c r="AK59" s="79">
        <f t="shared" si="6"/>
        <v>0.4838709677419355</v>
      </c>
      <c r="AL59" s="79">
        <f t="shared" si="7"/>
        <v>6.725641025641025</v>
      </c>
      <c r="AM59" s="79">
        <f t="shared" si="8"/>
        <v>24.035</v>
      </c>
      <c r="AN59" s="79">
        <f t="shared" si="9"/>
        <v>21.841666666666665</v>
      </c>
      <c r="AO59" s="79">
        <f t="shared" si="10"/>
        <v>108.47826086956522</v>
      </c>
      <c r="AP59" s="79">
        <f t="shared" si="11"/>
        <v>40.39375</v>
      </c>
      <c r="AQ59" s="79">
        <f t="shared" si="12"/>
        <v>86.17142857142856</v>
      </c>
      <c r="AR59" s="69">
        <f aca="true" t="shared" si="34" ref="AR59:AR104">SUM(10^(6-S59))</f>
        <v>0.34673685045253166</v>
      </c>
      <c r="AS59" s="79">
        <f t="shared" si="14"/>
        <v>4.838709677419355</v>
      </c>
      <c r="AT59" s="79"/>
      <c r="AU59" s="79">
        <f t="shared" si="16"/>
        <v>0.06349206349206349</v>
      </c>
      <c r="AV59" s="79">
        <f t="shared" si="17"/>
        <v>0.061538461538461535</v>
      </c>
      <c r="AW59" s="106">
        <f aca="true" t="shared" si="35" ref="AW59:AW104">AA59/14*1*1000</f>
        <v>8.328571428571427</v>
      </c>
      <c r="AX59" s="69">
        <f aca="true" t="shared" si="36" ref="AX59:AX104">AB59/14*1*1000</f>
        <v>5.124285714285714</v>
      </c>
      <c r="AY59" s="69"/>
      <c r="AZ59" s="69">
        <f aca="true" t="shared" si="37" ref="AZ59:AZ104">AI59+AJ59</f>
        <v>3.2042857142857146</v>
      </c>
      <c r="BA59" s="111">
        <f aca="true" t="shared" si="38" ref="BA59:BA104">AL59+AM59+AN59+AO59+AI59</f>
        <v>161.79485427615862</v>
      </c>
      <c r="BB59" s="111">
        <f aca="true" t="shared" si="39" ref="BB59:BB104">AJ59+AP59+AQ59</f>
        <v>129.05517857142857</v>
      </c>
      <c r="BC59" s="25">
        <f aca="true" t="shared" si="40" ref="BC59:BC104">ABS(BA59-BB59)/(BA59+BB59)*100</f>
        <v>11.256548738946325</v>
      </c>
      <c r="BD59" s="80">
        <f>(('[1]setup'!$B$13*'[1]setup'!$B$14*'[1]setup'!$B$15)/10^(-S59))*10^6</f>
        <v>34.19745632557576</v>
      </c>
      <c r="BE59" s="74">
        <f aca="true" t="shared" si="41" ref="BE59:BE104">((10^-(0.96+0.9*S59-0.039*S59^2))*Z59*10)/((10^-(0.96+0.9*S59-0.039*S59^2))+10^(-S59))</f>
        <v>12.073457793976377</v>
      </c>
      <c r="BF59" s="75">
        <f aca="true" t="shared" si="42" ref="BF59:BF104">(AM59+AN59+AO59+AL59+AI59)-(AP59+AQ59+AJ59)</f>
        <v>32.73967570473005</v>
      </c>
      <c r="BG59" s="73">
        <f aca="true" t="shared" si="43" ref="BG59:BG104">(AM59+AN59+AO59+AL59+AI59)+((10^-S59)*10^6)</f>
        <v>162.14159112661116</v>
      </c>
      <c r="BH59" s="73">
        <f aca="true" t="shared" si="44" ref="BH59:BH104">(AP59+AQ59+AJ59+BE59+BD59)</f>
        <v>175.32609269098072</v>
      </c>
      <c r="BI59" s="76">
        <f aca="true" t="shared" si="45" ref="BI59:BI104">ABS(BG59-BH59)/(BG59+BH59)*100</f>
        <v>3.9068930734997567</v>
      </c>
      <c r="BJ59" s="59"/>
      <c r="BK59" s="81">
        <f>(3*('[1]setup'!$D$19*(10^-S59)^3)+2*('[1]setup'!$D$20*'[1]setup'!$D$19*((10^-S59)^2))+('[1]setup'!$D$21*'[1]setup'!$D$19*10^-S59)+('[1]setup'!$D$19*'[1]setup'!$D$22*(AP59/(10^6*2))*(10^-S59)^3))*10^6</f>
        <v>0.00039430159080555374</v>
      </c>
      <c r="BL59" s="82">
        <f aca="true" t="shared" si="46" ref="BL59:BL104">(AM59+AN59+AO59+AL59+AI59+(10^-S59)*10^6+BK59)-(AP59+AQ59+AJ59+BD59)</f>
        <v>-1.1106494688023645</v>
      </c>
      <c r="BM59" s="75">
        <f>(BL59/((('[1]setup'!$C$26)/10^-S59)+2*(('[1]setup'!$C$26*'[1]setup'!$C$27)/(10^-S59^2))+3*(('[1]setup'!$C$26*'[1]setup'!$C$27*'[1]setup'!$C$28)/(10^-S59^3))))/(10^-S59^3/(10^-S59^3+'[1]setup'!$C$26*10^-S59^2+'[1]setup'!$C$26*'[1]setup'!$C$27*10^-S59+'[1]setup'!$C$26*'[1]setup'!$C$27*'[1]setup'!$C$28))</f>
        <v>-0.4457527877742132</v>
      </c>
      <c r="BN59" s="75"/>
      <c r="BO59" s="137">
        <f aca="true" t="shared" si="47" ref="BO59:BO104">AI59+AL59+AM59+AN59+AO59</f>
        <v>161.79485427615862</v>
      </c>
      <c r="BP59" s="137">
        <f aca="true" t="shared" si="48" ref="BP59:BP104">AJ59+AP59+AQ59</f>
        <v>129.05517857142857</v>
      </c>
      <c r="BQ59" s="137">
        <f aca="true" t="shared" si="49" ref="BQ59:BQ104">BO59/BP59</f>
        <v>1.2536874232180424</v>
      </c>
      <c r="BR59" s="137">
        <f aca="true" t="shared" si="50" ref="BR59:BR104">(AL59+AM59+AN59+AO59)-(AJ59+AP59+AQ59)</f>
        <v>32.025389990444324</v>
      </c>
      <c r="BS59" s="137">
        <f aca="true" t="shared" si="51" ref="BS59:BS104">AO59/AQ59</f>
        <v>1.2588657594279784</v>
      </c>
    </row>
    <row r="60" spans="1:71" ht="12.75">
      <c r="A60" s="138">
        <v>39510</v>
      </c>
      <c r="B60" s="139">
        <v>16</v>
      </c>
      <c r="C60" s="15" t="s">
        <v>90</v>
      </c>
      <c r="D60" s="140">
        <v>925478</v>
      </c>
      <c r="F60" s="162">
        <v>0.006496</v>
      </c>
      <c r="G60" s="162">
        <v>0.002</v>
      </c>
      <c r="H60" s="162">
        <v>0.0314</v>
      </c>
      <c r="I60" s="162">
        <v>2.496</v>
      </c>
      <c r="J60" s="9">
        <v>0.01</v>
      </c>
      <c r="K60" s="145">
        <v>0.04704</v>
      </c>
      <c r="L60" s="9">
        <v>0.005</v>
      </c>
      <c r="M60" s="162">
        <v>0.2293</v>
      </c>
      <c r="N60" s="162">
        <v>0.4043</v>
      </c>
      <c r="O60" s="162">
        <v>0.2492</v>
      </c>
      <c r="P60" s="162">
        <v>2.518</v>
      </c>
      <c r="Q60" s="145">
        <v>0.5613</v>
      </c>
      <c r="R60" s="145">
        <v>3.575</v>
      </c>
      <c r="S60" s="10">
        <v>6.32</v>
      </c>
      <c r="T60" s="10">
        <v>17.7</v>
      </c>
      <c r="U60" s="10">
        <v>21.017</v>
      </c>
      <c r="V60" s="162">
        <v>0.05</v>
      </c>
      <c r="W60" s="162"/>
      <c r="X60" s="162">
        <v>0.002</v>
      </c>
      <c r="Y60" s="162">
        <v>0.002</v>
      </c>
      <c r="Z60" s="94">
        <v>2.161</v>
      </c>
      <c r="AA60" s="33">
        <v>0.01</v>
      </c>
      <c r="AB60" s="76">
        <v>-0.04704</v>
      </c>
      <c r="AC60" s="146"/>
      <c r="AD60" s="147"/>
      <c r="AE60" s="106">
        <f t="shared" si="0"/>
        <v>0.232</v>
      </c>
      <c r="AF60" s="79">
        <f t="shared" si="1"/>
        <v>0.07272727272727272</v>
      </c>
      <c r="AG60" s="79">
        <f t="shared" si="2"/>
        <v>3.4888888888888885</v>
      </c>
      <c r="AH60" s="79">
        <f t="shared" si="3"/>
        <v>356.5714285714286</v>
      </c>
      <c r="AI60" s="79">
        <f t="shared" si="4"/>
        <v>0.7142857142857143</v>
      </c>
      <c r="AJ60" s="79">
        <f t="shared" si="5"/>
        <v>3.36</v>
      </c>
      <c r="AK60" s="79">
        <f t="shared" si="6"/>
        <v>0.4838709677419355</v>
      </c>
      <c r="AL60" s="79">
        <f t="shared" si="7"/>
        <v>5.87948717948718</v>
      </c>
      <c r="AM60" s="79">
        <f t="shared" si="8"/>
        <v>20.215</v>
      </c>
      <c r="AN60" s="79">
        <f t="shared" si="9"/>
        <v>20.766666666666666</v>
      </c>
      <c r="AO60" s="79">
        <f t="shared" si="10"/>
        <v>109.4782608695652</v>
      </c>
      <c r="AP60" s="79">
        <f t="shared" si="11"/>
        <v>35.081250000000004</v>
      </c>
      <c r="AQ60" s="79">
        <f t="shared" si="12"/>
        <v>102.14285714285715</v>
      </c>
      <c r="AR60" s="69">
        <f t="shared" si="34"/>
        <v>0.478630092322638</v>
      </c>
      <c r="AS60" s="79">
        <f t="shared" si="14"/>
        <v>4.838709677419355</v>
      </c>
      <c r="AT60" s="79"/>
      <c r="AU60" s="79">
        <f t="shared" si="16"/>
        <v>0.06349206349206349</v>
      </c>
      <c r="AV60" s="79">
        <f t="shared" si="17"/>
        <v>0.061538461538461535</v>
      </c>
      <c r="AW60" s="106">
        <f t="shared" si="35"/>
        <v>0.7142857142857143</v>
      </c>
      <c r="AX60" s="69">
        <f t="shared" si="36"/>
        <v>-3.36</v>
      </c>
      <c r="AY60" s="69"/>
      <c r="AZ60" s="69">
        <f t="shared" si="37"/>
        <v>4.074285714285714</v>
      </c>
      <c r="BA60" s="111">
        <f t="shared" si="38"/>
        <v>157.05370043000477</v>
      </c>
      <c r="BB60" s="111">
        <f t="shared" si="39"/>
        <v>140.58410714285716</v>
      </c>
      <c r="BC60" s="25">
        <f t="shared" si="40"/>
        <v>5.533434553040053</v>
      </c>
      <c r="BD60" s="80">
        <f>(('[1]setup'!$B$13*'[1]setup'!$B$14*'[1]setup'!$B$15)/10^(-S60))*10^6</f>
        <v>24.77386710534105</v>
      </c>
      <c r="BE60" s="74">
        <f t="shared" si="41"/>
        <v>20.407627803919652</v>
      </c>
      <c r="BF60" s="75">
        <f t="shared" si="42"/>
        <v>16.469593287147603</v>
      </c>
      <c r="BG60" s="73">
        <f t="shared" si="43"/>
        <v>157.5323305223274</v>
      </c>
      <c r="BH60" s="73">
        <f t="shared" si="44"/>
        <v>185.76560205211788</v>
      </c>
      <c r="BI60" s="76">
        <f t="shared" si="45"/>
        <v>8.224130951813406</v>
      </c>
      <c r="BJ60" s="59"/>
      <c r="BK60" s="81">
        <f>(3*('[1]setup'!$D$19*(10^-S60)^3)+2*('[1]setup'!$D$20*'[1]setup'!$D$19*((10^-S60)^2))+('[1]setup'!$D$21*'[1]setup'!$D$19*10^-S60)+('[1]setup'!$D$19*'[1]setup'!$D$22*(AP60/(10^6*2))*(10^-S60)^3))*10^6</f>
        <v>0.0006007093978493617</v>
      </c>
      <c r="BL60" s="82">
        <f t="shared" si="46"/>
        <v>-7.825043016472961</v>
      </c>
      <c r="BM60" s="75">
        <f>(BL60/((('[1]setup'!$C$26)/10^-S60)+2*(('[1]setup'!$C$26*'[1]setup'!$C$27)/(10^-S60^2))+3*(('[1]setup'!$C$26*'[1]setup'!$C$27*'[1]setup'!$C$28)/(10^-S60^3))))/(10^-S60^3/(10^-S60^3+'[1]setup'!$C$26*10^-S60^2+'[1]setup'!$C$26*'[1]setup'!$C$27*10^-S60+'[1]setup'!$C$26*'[1]setup'!$C$27*'[1]setup'!$C$28))</f>
        <v>-3.2503479727567077</v>
      </c>
      <c r="BN60" s="75"/>
      <c r="BO60" s="137">
        <f t="shared" si="47"/>
        <v>157.05370043000477</v>
      </c>
      <c r="BP60" s="137">
        <f t="shared" si="48"/>
        <v>140.58410714285716</v>
      </c>
      <c r="BQ60" s="137">
        <f t="shared" si="49"/>
        <v>1.1171511746374838</v>
      </c>
      <c r="BR60" s="137">
        <f t="shared" si="50"/>
        <v>15.75530757286188</v>
      </c>
      <c r="BS60" s="137">
        <f t="shared" si="51"/>
        <v>1.0718151413803585</v>
      </c>
    </row>
    <row r="61" spans="1:143" s="118" customFormat="1" ht="12.75">
      <c r="A61" s="138">
        <v>39524</v>
      </c>
      <c r="B61" s="73">
        <v>16.15</v>
      </c>
      <c r="C61" s="15" t="s">
        <v>90</v>
      </c>
      <c r="D61" s="140">
        <v>928088</v>
      </c>
      <c r="E61" s="68"/>
      <c r="F61" s="163">
        <v>0.008483</v>
      </c>
      <c r="G61" s="163">
        <v>0.002</v>
      </c>
      <c r="H61" s="163">
        <v>0.0429</v>
      </c>
      <c r="I61" s="163">
        <v>1.794</v>
      </c>
      <c r="J61" s="80">
        <v>0.01</v>
      </c>
      <c r="K61" s="80">
        <v>0.025553</v>
      </c>
      <c r="L61" s="80">
        <v>0.005</v>
      </c>
      <c r="M61" s="163">
        <v>0.2562</v>
      </c>
      <c r="N61" s="163">
        <v>0.3116</v>
      </c>
      <c r="O61" s="163">
        <v>0.2101</v>
      </c>
      <c r="P61" s="163">
        <v>2.457</v>
      </c>
      <c r="Q61" s="80">
        <v>0.4011</v>
      </c>
      <c r="R61" s="80">
        <v>3.137</v>
      </c>
      <c r="S61" s="162">
        <v>5.49</v>
      </c>
      <c r="T61" s="162">
        <v>11</v>
      </c>
      <c r="U61" s="162">
        <v>18.821</v>
      </c>
      <c r="V61" s="163">
        <v>0.05</v>
      </c>
      <c r="W61" s="163"/>
      <c r="X61" s="163">
        <v>0.002</v>
      </c>
      <c r="Y61" s="163">
        <v>0.002</v>
      </c>
      <c r="Z61" s="142">
        <v>4.306</v>
      </c>
      <c r="AA61" s="148">
        <v>0.1106</v>
      </c>
      <c r="AB61" s="76">
        <v>0.075047</v>
      </c>
      <c r="AC61" s="1"/>
      <c r="AD61" s="1"/>
      <c r="AE61" s="106">
        <f t="shared" si="0"/>
        <v>0.3029642857142857</v>
      </c>
      <c r="AF61" s="79">
        <f t="shared" si="1"/>
        <v>0.07272727272727272</v>
      </c>
      <c r="AG61" s="79">
        <f t="shared" si="2"/>
        <v>4.766666666666667</v>
      </c>
      <c r="AH61" s="79">
        <f t="shared" si="3"/>
        <v>256.2857142857143</v>
      </c>
      <c r="AI61" s="79">
        <f t="shared" si="4"/>
        <v>0.7142857142857143</v>
      </c>
      <c r="AJ61" s="79">
        <f t="shared" si="5"/>
        <v>1.8252142857142857</v>
      </c>
      <c r="AK61" s="79">
        <f t="shared" si="6"/>
        <v>0.4838709677419355</v>
      </c>
      <c r="AL61" s="79">
        <f t="shared" si="7"/>
        <v>6.569230769230769</v>
      </c>
      <c r="AM61" s="79">
        <f t="shared" si="8"/>
        <v>15.58</v>
      </c>
      <c r="AN61" s="79">
        <f t="shared" si="9"/>
        <v>17.508333333333333</v>
      </c>
      <c r="AO61" s="79">
        <f t="shared" si="10"/>
        <v>106.82608695652173</v>
      </c>
      <c r="AP61" s="79">
        <f t="shared" si="11"/>
        <v>25.06875</v>
      </c>
      <c r="AQ61" s="79">
        <f t="shared" si="12"/>
        <v>89.62857142857143</v>
      </c>
      <c r="AR61" s="69">
        <f t="shared" si="34"/>
        <v>3.2359365692962814</v>
      </c>
      <c r="AS61" s="79">
        <f t="shared" si="14"/>
        <v>4.838709677419355</v>
      </c>
      <c r="AT61" s="79"/>
      <c r="AU61" s="79">
        <f t="shared" si="16"/>
        <v>0.06349206349206349</v>
      </c>
      <c r="AV61" s="79">
        <f t="shared" si="17"/>
        <v>0.061538461538461535</v>
      </c>
      <c r="AW61" s="106">
        <f t="shared" si="35"/>
        <v>7.9</v>
      </c>
      <c r="AX61" s="69">
        <f t="shared" si="36"/>
        <v>5.3605</v>
      </c>
      <c r="AY61" s="69"/>
      <c r="AZ61" s="69">
        <f t="shared" si="37"/>
        <v>2.5395</v>
      </c>
      <c r="BA61" s="111">
        <f t="shared" si="38"/>
        <v>147.19793677337157</v>
      </c>
      <c r="BB61" s="111">
        <f t="shared" si="39"/>
        <v>116.52253571428572</v>
      </c>
      <c r="BC61" s="25">
        <f t="shared" si="40"/>
        <v>11.63178602318086</v>
      </c>
      <c r="BD61" s="80">
        <f>(('[1]setup'!$B$13*'[1]setup'!$B$14*'[1]setup'!$B$15)/10^(-S61))*10^6</f>
        <v>3.664323464287434</v>
      </c>
      <c r="BE61" s="74">
        <f t="shared" si="41"/>
        <v>36.74051931718948</v>
      </c>
      <c r="BF61" s="75">
        <f t="shared" si="42"/>
        <v>30.67540105908583</v>
      </c>
      <c r="BG61" s="73">
        <f t="shared" si="43"/>
        <v>150.43387334266782</v>
      </c>
      <c r="BH61" s="73">
        <f t="shared" si="44"/>
        <v>156.9273784957626</v>
      </c>
      <c r="BI61" s="76">
        <f t="shared" si="45"/>
        <v>2.1126622546775042</v>
      </c>
      <c r="BJ61" s="59"/>
      <c r="BK61" s="81">
        <f>(3*('[1]setup'!$D$19*(10^-S61)^3)+2*('[1]setup'!$D$20*'[1]setup'!$D$19*((10^-S61)^2))+('[1]setup'!$D$21*'[1]setup'!$D$19*10^-S61)+('[1]setup'!$D$19*'[1]setup'!$D$22*(AP61/(10^6*2))*(10^-S61)^3))*10^6</f>
        <v>0.01979478977760139</v>
      </c>
      <c r="BL61" s="82">
        <f t="shared" si="46"/>
        <v>30.26680895387227</v>
      </c>
      <c r="BM61" s="75">
        <f>(BL61/((('[1]setup'!$C$26)/10^-S61)+2*(('[1]setup'!$C$26*'[1]setup'!$C$27)/(10^-S61^2))+3*(('[1]setup'!$C$26*'[1]setup'!$C$27*'[1]setup'!$C$28)/(10^-S61^3))))/(10^-S61^3/(10^-S61^3+'[1]setup'!$C$26*10^-S61^2+'[1]setup'!$C$26*'[1]setup'!$C$27*10^-S61+'[1]setup'!$C$26*'[1]setup'!$C$27*'[1]setup'!$C$28))</f>
        <v>15.122825520011547</v>
      </c>
      <c r="BN61" s="75"/>
      <c r="BO61" s="137">
        <f t="shared" si="47"/>
        <v>147.19793677337157</v>
      </c>
      <c r="BP61" s="137">
        <f t="shared" si="48"/>
        <v>116.52253571428572</v>
      </c>
      <c r="BQ61" s="137">
        <f t="shared" si="49"/>
        <v>1.26325723922025</v>
      </c>
      <c r="BR61" s="137">
        <f t="shared" si="50"/>
        <v>29.96111534480012</v>
      </c>
      <c r="BS61" s="137">
        <f t="shared" si="51"/>
        <v>1.1918753724827098</v>
      </c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</row>
    <row r="62" spans="1:143" s="132" customFormat="1" ht="12.75">
      <c r="A62" s="138">
        <v>39535</v>
      </c>
      <c r="B62" s="139">
        <v>12</v>
      </c>
      <c r="C62" s="15" t="s">
        <v>90</v>
      </c>
      <c r="D62" s="140">
        <v>929100</v>
      </c>
      <c r="E62"/>
      <c r="F62" s="162">
        <v>0.006</v>
      </c>
      <c r="G62" s="162">
        <v>0.002</v>
      </c>
      <c r="H62" s="162">
        <v>0.03611</v>
      </c>
      <c r="I62" s="162">
        <v>2.998</v>
      </c>
      <c r="J62" s="9">
        <v>0.01</v>
      </c>
      <c r="K62" s="145">
        <v>0.03617</v>
      </c>
      <c r="L62" s="9">
        <v>0.005</v>
      </c>
      <c r="M62" s="162">
        <v>0.1588</v>
      </c>
      <c r="N62" s="162">
        <v>0.5551</v>
      </c>
      <c r="O62" s="162">
        <v>0.2678</v>
      </c>
      <c r="P62" s="162">
        <v>2.729</v>
      </c>
      <c r="Q62" s="9">
        <v>0.5902</v>
      </c>
      <c r="R62" s="145">
        <v>3.066</v>
      </c>
      <c r="S62" s="145">
        <v>6.56</v>
      </c>
      <c r="T62" s="145">
        <v>17.5</v>
      </c>
      <c r="U62" s="145">
        <v>22.543</v>
      </c>
      <c r="V62" s="162">
        <v>0.05</v>
      </c>
      <c r="W62" s="162"/>
      <c r="X62" s="162">
        <v>0.002</v>
      </c>
      <c r="Y62" s="162">
        <v>0.002</v>
      </c>
      <c r="Z62" s="33">
        <v>1.501</v>
      </c>
      <c r="AA62" s="33">
        <v>0.01</v>
      </c>
      <c r="AB62" s="76">
        <v>-0.03617</v>
      </c>
      <c r="AE62" s="106">
        <f t="shared" si="0"/>
        <v>0.2142857142857143</v>
      </c>
      <c r="AF62" s="79">
        <f t="shared" si="1"/>
        <v>0.07272727272727272</v>
      </c>
      <c r="AG62" s="79">
        <f t="shared" si="2"/>
        <v>4.012222222222222</v>
      </c>
      <c r="AH62" s="79">
        <f t="shared" si="3"/>
        <v>428.28571428571433</v>
      </c>
      <c r="AI62" s="79">
        <f t="shared" si="4"/>
        <v>0.7142857142857143</v>
      </c>
      <c r="AJ62" s="79">
        <f t="shared" si="5"/>
        <v>2.5835714285714286</v>
      </c>
      <c r="AK62" s="79">
        <f t="shared" si="6"/>
        <v>0.4838709677419355</v>
      </c>
      <c r="AL62" s="79">
        <f t="shared" si="7"/>
        <v>4.0717948717948715</v>
      </c>
      <c r="AM62" s="79">
        <f t="shared" si="8"/>
        <v>27.755000000000003</v>
      </c>
      <c r="AN62" s="79">
        <f t="shared" si="9"/>
        <v>22.316666666666666</v>
      </c>
      <c r="AO62" s="79">
        <f t="shared" si="10"/>
        <v>118.65217391304348</v>
      </c>
      <c r="AP62" s="79">
        <f t="shared" si="11"/>
        <v>36.887499999999996</v>
      </c>
      <c r="AQ62" s="79">
        <f t="shared" si="12"/>
        <v>87.6</v>
      </c>
      <c r="AR62" s="69">
        <f t="shared" si="34"/>
        <v>0.27542287033381685</v>
      </c>
      <c r="AS62" s="79">
        <f t="shared" si="14"/>
        <v>4.838709677419355</v>
      </c>
      <c r="AT62" s="79"/>
      <c r="AU62" s="79">
        <f t="shared" si="16"/>
        <v>0.06349206349206349</v>
      </c>
      <c r="AV62" s="79">
        <f t="shared" si="17"/>
        <v>0.061538461538461535</v>
      </c>
      <c r="AW62" s="106">
        <f t="shared" si="35"/>
        <v>0.7142857142857143</v>
      </c>
      <c r="AX62" s="69">
        <f t="shared" si="36"/>
        <v>-2.5835714285714286</v>
      </c>
      <c r="AY62" s="69"/>
      <c r="AZ62" s="69">
        <f t="shared" si="37"/>
        <v>3.297857142857143</v>
      </c>
      <c r="BA62" s="111">
        <f t="shared" si="38"/>
        <v>173.50992116579073</v>
      </c>
      <c r="BB62" s="111">
        <f t="shared" si="39"/>
        <v>127.07107142857143</v>
      </c>
      <c r="BC62" s="25">
        <f t="shared" si="40"/>
        <v>15.449696049107509</v>
      </c>
      <c r="BD62" s="80">
        <f>(('[1]setup'!$B$13*'[1]setup'!$B$14*'[1]setup'!$B$15)/10^(-S62))*10^6</f>
        <v>43.05204678698854</v>
      </c>
      <c r="BE62" s="74">
        <f t="shared" si="41"/>
        <v>14.401719427799684</v>
      </c>
      <c r="BF62" s="75">
        <f t="shared" si="42"/>
        <v>46.43884973721934</v>
      </c>
      <c r="BG62" s="73">
        <f t="shared" si="43"/>
        <v>173.78534403612457</v>
      </c>
      <c r="BH62" s="73">
        <f t="shared" si="44"/>
        <v>184.52483764335963</v>
      </c>
      <c r="BI62" s="76">
        <f t="shared" si="45"/>
        <v>2.9972616342903025</v>
      </c>
      <c r="BJ62" s="59"/>
      <c r="BK62" s="81">
        <f>(3*('[1]setup'!$D$19*(10^-S62)^3)+2*('[1]setup'!$D$20*'[1]setup'!$D$19*((10^-S62)^2))+('[1]setup'!$D$21*'[1]setup'!$D$19*10^-S62)+('[1]setup'!$D$19*'[1]setup'!$D$22*(AP62/(10^6*2))*(10^-S62)^3))*10^6</f>
        <v>0.0002968435079120367</v>
      </c>
      <c r="BL62" s="82">
        <f t="shared" si="46"/>
        <v>3.6625226640725543</v>
      </c>
      <c r="BM62" s="75">
        <f>(BL62/((('[1]setup'!$C$26)/10^-S62)+2*(('[1]setup'!$C$26*'[1]setup'!$C$27)/(10^-S62^2))+3*(('[1]setup'!$C$26*'[1]setup'!$C$27*'[1]setup'!$C$28)/(10^-S62^3))))/(10^-S62^3/(10^-S62^3+'[1]setup'!$C$26*10^-S62^2+'[1]setup'!$C$26*'[1]setup'!$C$27*10^-S62+'[1]setup'!$C$26*'[1]setup'!$C$27*'[1]setup'!$C$28))</f>
        <v>1.4356143251004991</v>
      </c>
      <c r="BN62" s="75"/>
      <c r="BO62" s="137">
        <f t="shared" si="47"/>
        <v>173.50992116579073</v>
      </c>
      <c r="BP62" s="137">
        <f t="shared" si="48"/>
        <v>127.07107142857143</v>
      </c>
      <c r="BQ62" s="137">
        <f t="shared" si="49"/>
        <v>1.3654557187181922</v>
      </c>
      <c r="BR62" s="137">
        <f t="shared" si="50"/>
        <v>45.72456402293358</v>
      </c>
      <c r="BS62" s="137">
        <f t="shared" si="51"/>
        <v>1.3544768711534645</v>
      </c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</row>
    <row r="63" spans="1:71" ht="12.75">
      <c r="A63" s="138">
        <v>39553</v>
      </c>
      <c r="B63" s="23">
        <v>13</v>
      </c>
      <c r="C63" s="15" t="s">
        <v>90</v>
      </c>
      <c r="D63" s="14">
        <v>931008</v>
      </c>
      <c r="E63" s="34"/>
      <c r="F63" s="162">
        <v>0.00638</v>
      </c>
      <c r="G63" s="162">
        <v>0.002</v>
      </c>
      <c r="H63" s="162">
        <v>0.04859</v>
      </c>
      <c r="I63" s="162">
        <v>2.412</v>
      </c>
      <c r="J63" s="9">
        <v>0.01</v>
      </c>
      <c r="K63" s="145">
        <v>0.025159</v>
      </c>
      <c r="L63" s="9">
        <v>0.005</v>
      </c>
      <c r="M63" s="162">
        <v>0.1656</v>
      </c>
      <c r="N63" s="162">
        <v>0.4519</v>
      </c>
      <c r="O63" s="162">
        <v>0.2929</v>
      </c>
      <c r="P63" s="162">
        <v>2.871</v>
      </c>
      <c r="Q63" s="9">
        <v>0.6226</v>
      </c>
      <c r="R63" s="145">
        <v>4.882</v>
      </c>
      <c r="S63" s="9">
        <v>6.12</v>
      </c>
      <c r="T63" s="9">
        <v>18.7</v>
      </c>
      <c r="U63" s="134">
        <v>24.234</v>
      </c>
      <c r="V63" s="162">
        <v>0.05</v>
      </c>
      <c r="W63" s="162"/>
      <c r="X63" s="162">
        <v>0.002</v>
      </c>
      <c r="Y63" s="162">
        <v>0.002</v>
      </c>
      <c r="Z63" s="33">
        <v>2.215</v>
      </c>
      <c r="AA63" s="33">
        <v>0.1133</v>
      </c>
      <c r="AB63" s="76">
        <v>0.07814099999999999</v>
      </c>
      <c r="AC63" s="146"/>
      <c r="AD63" s="147"/>
      <c r="AE63" s="106">
        <f t="shared" si="0"/>
        <v>0.22785714285714287</v>
      </c>
      <c r="AF63" s="79">
        <f t="shared" si="1"/>
        <v>0.07272727272727272</v>
      </c>
      <c r="AG63" s="79">
        <f t="shared" si="2"/>
        <v>5.398888888888889</v>
      </c>
      <c r="AH63" s="79">
        <f t="shared" si="3"/>
        <v>344.5714285714286</v>
      </c>
      <c r="AI63" s="79">
        <f t="shared" si="4"/>
        <v>0.7142857142857143</v>
      </c>
      <c r="AJ63" s="79">
        <f t="shared" si="5"/>
        <v>1.7970714285714287</v>
      </c>
      <c r="AK63" s="79">
        <f t="shared" si="6"/>
        <v>0.4838709677419355</v>
      </c>
      <c r="AL63" s="79">
        <f t="shared" si="7"/>
        <v>4.246153846153845</v>
      </c>
      <c r="AM63" s="79">
        <f t="shared" si="8"/>
        <v>22.595</v>
      </c>
      <c r="AN63" s="79">
        <f t="shared" si="9"/>
        <v>24.408333333333335</v>
      </c>
      <c r="AO63" s="79">
        <f t="shared" si="10"/>
        <v>124.82608695652173</v>
      </c>
      <c r="AP63" s="79">
        <f t="shared" si="11"/>
        <v>38.9125</v>
      </c>
      <c r="AQ63" s="79">
        <f t="shared" si="12"/>
        <v>139.48571428571427</v>
      </c>
      <c r="AR63" s="69">
        <f t="shared" si="34"/>
        <v>0.7585775750291835</v>
      </c>
      <c r="AS63" s="79">
        <f t="shared" si="14"/>
        <v>4.838709677419355</v>
      </c>
      <c r="AT63" s="79"/>
      <c r="AU63" s="79">
        <f t="shared" si="16"/>
        <v>0.06349206349206349</v>
      </c>
      <c r="AV63" s="79">
        <f t="shared" si="17"/>
        <v>0.061538461538461535</v>
      </c>
      <c r="AW63" s="106">
        <f t="shared" si="35"/>
        <v>8.092857142857143</v>
      </c>
      <c r="AX63" s="69">
        <f t="shared" si="36"/>
        <v>5.581499999999998</v>
      </c>
      <c r="AY63" s="69"/>
      <c r="AZ63" s="69">
        <f t="shared" si="37"/>
        <v>2.511357142857143</v>
      </c>
      <c r="BA63" s="111">
        <f t="shared" si="38"/>
        <v>176.78985985029465</v>
      </c>
      <c r="BB63" s="111">
        <f t="shared" si="39"/>
        <v>180.1952857142857</v>
      </c>
      <c r="BC63" s="25">
        <f t="shared" si="40"/>
        <v>0.9539404948083432</v>
      </c>
      <c r="BD63" s="80">
        <f>(('[1]setup'!$B$13*'[1]setup'!$B$14*'[1]setup'!$B$15)/10^(-S63))*10^6</f>
        <v>15.631253401291202</v>
      </c>
      <c r="BE63" s="74">
        <f t="shared" si="41"/>
        <v>20.563719209373645</v>
      </c>
      <c r="BF63" s="75">
        <f t="shared" si="42"/>
        <v>-3.4054258639910415</v>
      </c>
      <c r="BG63" s="73">
        <f t="shared" si="43"/>
        <v>177.54843742532384</v>
      </c>
      <c r="BH63" s="73">
        <f t="shared" si="44"/>
        <v>216.39025832495054</v>
      </c>
      <c r="BI63" s="76">
        <f t="shared" si="45"/>
        <v>9.859864318647514</v>
      </c>
      <c r="BJ63" s="59"/>
      <c r="BK63" s="81">
        <f>(3*('[1]setup'!$D$19*(10^-S63)^3)+2*('[1]setup'!$D$20*'[1]setup'!$D$19*((10^-S63)^2))+('[1]setup'!$D$21*'[1]setup'!$D$19*10^-S63)+('[1]setup'!$D$19*'[1]setup'!$D$22*(AP63/(10^6*2))*(10^-S63)^3))*10^6</f>
        <v>0.001168339310363608</v>
      </c>
      <c r="BL63" s="82">
        <f t="shared" si="46"/>
        <v>-18.27693335094267</v>
      </c>
      <c r="BM63" s="75">
        <f>(BL63/((('[1]setup'!$C$26)/10^-S63)+2*(('[1]setup'!$C$26*'[1]setup'!$C$27)/(10^-S63^2))+3*(('[1]setup'!$C$26*'[1]setup'!$C$27*'[1]setup'!$C$28)/(10^-S63^3))))/(10^-S63^3/(10^-S63^3+'[1]setup'!$C$26*10^-S63^2+'[1]setup'!$C$26*'[1]setup'!$C$27*10^-S63+'[1]setup'!$C$26*'[1]setup'!$C$27*'[1]setup'!$C$28))</f>
        <v>-7.974565475028996</v>
      </c>
      <c r="BN63" s="75"/>
      <c r="BO63" s="137">
        <f t="shared" si="47"/>
        <v>176.78985985029465</v>
      </c>
      <c r="BP63" s="137">
        <f t="shared" si="48"/>
        <v>180.1952857142857</v>
      </c>
      <c r="BQ63" s="137">
        <f t="shared" si="49"/>
        <v>0.981101470826542</v>
      </c>
      <c r="BR63" s="137">
        <f t="shared" si="50"/>
        <v>-4.119711578276764</v>
      </c>
      <c r="BS63" s="137">
        <f t="shared" si="51"/>
        <v>0.894902303047575</v>
      </c>
    </row>
    <row r="64" spans="1:71" ht="12.75">
      <c r="A64" s="138">
        <v>39574</v>
      </c>
      <c r="B64" s="23">
        <v>17</v>
      </c>
      <c r="C64" s="15" t="s">
        <v>90</v>
      </c>
      <c r="D64" s="140">
        <v>933293</v>
      </c>
      <c r="E64" s="34"/>
      <c r="F64" s="162">
        <v>0.006</v>
      </c>
      <c r="G64" s="162">
        <v>0.002</v>
      </c>
      <c r="H64" s="162">
        <v>0.04209</v>
      </c>
      <c r="I64" s="162">
        <v>2.494</v>
      </c>
      <c r="J64" s="9">
        <v>0.036</v>
      </c>
      <c r="K64" s="9">
        <v>0.05114</v>
      </c>
      <c r="L64" s="9">
        <v>0.005</v>
      </c>
      <c r="M64" s="162">
        <v>0.3176</v>
      </c>
      <c r="N64" s="162">
        <v>0.3826</v>
      </c>
      <c r="O64" s="162">
        <v>0.1916</v>
      </c>
      <c r="P64" s="162">
        <v>2.514</v>
      </c>
      <c r="Q64" s="9">
        <v>0.577</v>
      </c>
      <c r="R64" s="9">
        <v>2.936</v>
      </c>
      <c r="S64" s="134">
        <v>6.41</v>
      </c>
      <c r="T64" s="134">
        <v>15.8</v>
      </c>
      <c r="U64" s="134">
        <v>21.203</v>
      </c>
      <c r="V64" s="162">
        <v>0.05</v>
      </c>
      <c r="W64" s="162"/>
      <c r="X64" s="162">
        <v>0.002</v>
      </c>
      <c r="Y64" s="162">
        <v>0.002</v>
      </c>
      <c r="Z64" s="33">
        <v>2.66</v>
      </c>
      <c r="AA64" s="33">
        <v>0.4401</v>
      </c>
      <c r="AB64" s="76">
        <v>0.35296</v>
      </c>
      <c r="AC64" s="146"/>
      <c r="AD64" s="147"/>
      <c r="AE64" s="106">
        <f t="shared" si="0"/>
        <v>0.2142857142857143</v>
      </c>
      <c r="AF64" s="79">
        <f t="shared" si="1"/>
        <v>0.07272727272727272</v>
      </c>
      <c r="AG64" s="79">
        <f t="shared" si="2"/>
        <v>4.676666666666667</v>
      </c>
      <c r="AH64" s="79">
        <f t="shared" si="3"/>
        <v>356.28571428571433</v>
      </c>
      <c r="AI64" s="79">
        <f t="shared" si="4"/>
        <v>2.571428571428571</v>
      </c>
      <c r="AJ64" s="79">
        <f t="shared" si="5"/>
        <v>3.6528571428571426</v>
      </c>
      <c r="AK64" s="79">
        <f t="shared" si="6"/>
        <v>0.4838709677419355</v>
      </c>
      <c r="AL64" s="79">
        <f t="shared" si="7"/>
        <v>8.143589743589743</v>
      </c>
      <c r="AM64" s="79">
        <f t="shared" si="8"/>
        <v>19.130000000000003</v>
      </c>
      <c r="AN64" s="79">
        <f t="shared" si="9"/>
        <v>15.966666666666667</v>
      </c>
      <c r="AO64" s="79">
        <f t="shared" si="10"/>
        <v>109.30434782608694</v>
      </c>
      <c r="AP64" s="79">
        <f t="shared" si="11"/>
        <v>36.0625</v>
      </c>
      <c r="AQ64" s="79">
        <f t="shared" si="12"/>
        <v>83.88571428571429</v>
      </c>
      <c r="AR64" s="69">
        <f t="shared" si="34"/>
        <v>0.38904514499428045</v>
      </c>
      <c r="AS64" s="79">
        <f t="shared" si="14"/>
        <v>4.838709677419355</v>
      </c>
      <c r="AT64" s="79"/>
      <c r="AU64" s="79">
        <f t="shared" si="16"/>
        <v>0.06349206349206349</v>
      </c>
      <c r="AV64" s="79">
        <f t="shared" si="17"/>
        <v>0.061538461538461535</v>
      </c>
      <c r="AW64" s="106">
        <f t="shared" si="35"/>
        <v>31.435714285714283</v>
      </c>
      <c r="AX64" s="69">
        <f t="shared" si="36"/>
        <v>25.211428571428574</v>
      </c>
      <c r="AY64" s="69"/>
      <c r="AZ64" s="69">
        <f t="shared" si="37"/>
        <v>6.224285714285713</v>
      </c>
      <c r="BA64" s="111">
        <f t="shared" si="38"/>
        <v>155.11603280777194</v>
      </c>
      <c r="BB64" s="111">
        <f t="shared" si="39"/>
        <v>123.60107142857143</v>
      </c>
      <c r="BC64" s="25">
        <f t="shared" si="40"/>
        <v>11.307150117517297</v>
      </c>
      <c r="BD64" s="80">
        <f>(('[1]setup'!$B$13*'[1]setup'!$B$14*'[1]setup'!$B$15)/10^(-S64))*10^6</f>
        <v>30.478515031957198</v>
      </c>
      <c r="BE64" s="74">
        <f t="shared" si="41"/>
        <v>25.283556386936695</v>
      </c>
      <c r="BF64" s="75">
        <f t="shared" si="42"/>
        <v>31.514961379200486</v>
      </c>
      <c r="BG64" s="73">
        <f t="shared" si="43"/>
        <v>155.5050779527662</v>
      </c>
      <c r="BH64" s="73">
        <f t="shared" si="44"/>
        <v>179.3631428474653</v>
      </c>
      <c r="BI64" s="76">
        <f t="shared" si="45"/>
        <v>7.124613030667919</v>
      </c>
      <c r="BJ64" s="59"/>
      <c r="BK64" s="81">
        <f>(3*('[1]setup'!$D$19*(10^-S64)^3)+2*('[1]setup'!$D$20*'[1]setup'!$D$19*((10^-S64)^2))+('[1]setup'!$D$21*'[1]setup'!$D$19*10^-S64)+('[1]setup'!$D$19*'[1]setup'!$D$22*(AP64/(10^6*2))*(10^-S64)^3))*10^6</f>
        <v>0.00045667576880493484</v>
      </c>
      <c r="BL64" s="82">
        <f t="shared" si="46"/>
        <v>1.4259481680063857</v>
      </c>
      <c r="BM64" s="75">
        <f>(BL64/((('[1]setup'!$C$26)/10^-S64)+2*(('[1]setup'!$C$26*'[1]setup'!$C$27)/(10^-S64^2))+3*(('[1]setup'!$C$26*'[1]setup'!$C$27*'[1]setup'!$C$28)/(10^-S64^3))))/(10^-S64^3/(10^-S64^3+'[1]setup'!$C$26*10^-S64^2+'[1]setup'!$C$26*'[1]setup'!$C$27*10^-S64+'[1]setup'!$C$26*'[1]setup'!$C$27*'[1]setup'!$C$28))</f>
        <v>0.5792972541099878</v>
      </c>
      <c r="BN64" s="75"/>
      <c r="BO64" s="137">
        <f t="shared" si="47"/>
        <v>155.11603280777192</v>
      </c>
      <c r="BP64" s="137">
        <f t="shared" si="48"/>
        <v>123.60107142857143</v>
      </c>
      <c r="BQ64" s="137">
        <f t="shared" si="49"/>
        <v>1.254973205450026</v>
      </c>
      <c r="BR64" s="137">
        <f t="shared" si="50"/>
        <v>28.94353280777193</v>
      </c>
      <c r="BS64" s="137">
        <f t="shared" si="51"/>
        <v>1.3030150456107095</v>
      </c>
    </row>
    <row r="65" spans="1:256" ht="12.75">
      <c r="A65" s="138">
        <v>39601</v>
      </c>
      <c r="B65" s="8">
        <v>17.45</v>
      </c>
      <c r="C65" s="15" t="s">
        <v>90</v>
      </c>
      <c r="D65" s="140">
        <v>935734</v>
      </c>
      <c r="F65" s="162">
        <v>0.007998</v>
      </c>
      <c r="G65" s="162">
        <v>0.002</v>
      </c>
      <c r="H65" s="162">
        <v>0.03655</v>
      </c>
      <c r="I65" s="162">
        <v>2.869</v>
      </c>
      <c r="J65" s="9">
        <v>0.01</v>
      </c>
      <c r="K65" s="145">
        <v>0.0255643</v>
      </c>
      <c r="L65" s="9">
        <v>0.005</v>
      </c>
      <c r="M65" s="162">
        <v>0.3425</v>
      </c>
      <c r="N65" s="162">
        <v>0.6097</v>
      </c>
      <c r="O65" s="162">
        <v>0.3562</v>
      </c>
      <c r="P65" s="162">
        <v>2.798</v>
      </c>
      <c r="Q65" s="9">
        <v>0.6469</v>
      </c>
      <c r="R65" s="145">
        <v>3.211</v>
      </c>
      <c r="S65" s="9">
        <v>6.59</v>
      </c>
      <c r="T65" s="9">
        <v>18.1</v>
      </c>
      <c r="U65" s="9">
        <v>21.63</v>
      </c>
      <c r="V65" s="162">
        <v>0.05</v>
      </c>
      <c r="W65" s="162"/>
      <c r="X65" s="162">
        <v>0.002</v>
      </c>
      <c r="Y65" s="162">
        <v>0.002</v>
      </c>
      <c r="Z65" s="33">
        <v>2.437</v>
      </c>
      <c r="AA65" s="33">
        <v>0.1259</v>
      </c>
      <c r="AB65" s="76">
        <v>0.09033570000000002</v>
      </c>
      <c r="AC65" s="149"/>
      <c r="AD65" s="150"/>
      <c r="AE65" s="106">
        <f t="shared" si="0"/>
        <v>0.28564285714285714</v>
      </c>
      <c r="AF65" s="79">
        <f t="shared" si="1"/>
        <v>0.07272727272727272</v>
      </c>
      <c r="AG65" s="79">
        <f t="shared" si="2"/>
        <v>4.061111111111111</v>
      </c>
      <c r="AH65" s="79">
        <f t="shared" si="3"/>
        <v>409.8571428571429</v>
      </c>
      <c r="AI65" s="79">
        <f t="shared" si="4"/>
        <v>0.7142857142857143</v>
      </c>
      <c r="AJ65" s="79">
        <f t="shared" si="5"/>
        <v>1.8260214285714287</v>
      </c>
      <c r="AK65" s="79">
        <f t="shared" si="6"/>
        <v>0.4838709677419355</v>
      </c>
      <c r="AL65" s="79">
        <f t="shared" si="7"/>
        <v>8.782051282051283</v>
      </c>
      <c r="AM65" s="79">
        <f t="shared" si="8"/>
        <v>30.485000000000003</v>
      </c>
      <c r="AN65" s="79">
        <f t="shared" si="9"/>
        <v>29.683333333333337</v>
      </c>
      <c r="AO65" s="79">
        <f t="shared" si="10"/>
        <v>121.65217391304347</v>
      </c>
      <c r="AP65" s="79">
        <f t="shared" si="11"/>
        <v>40.43125</v>
      </c>
      <c r="AQ65" s="79">
        <f t="shared" si="12"/>
        <v>91.74285714285713</v>
      </c>
      <c r="AR65" s="69">
        <f t="shared" si="34"/>
        <v>0.25703957827688645</v>
      </c>
      <c r="AS65" s="79">
        <f t="shared" si="14"/>
        <v>4.838709677419355</v>
      </c>
      <c r="AT65" s="79"/>
      <c r="AU65" s="79">
        <f t="shared" si="16"/>
        <v>0.06349206349206349</v>
      </c>
      <c r="AV65" s="79">
        <f t="shared" si="17"/>
        <v>0.061538461538461535</v>
      </c>
      <c r="AW65" s="106">
        <f t="shared" si="35"/>
        <v>8.992857142857144</v>
      </c>
      <c r="AX65" s="69">
        <f t="shared" si="36"/>
        <v>6.452550000000001</v>
      </c>
      <c r="AY65" s="69"/>
      <c r="AZ65" s="69">
        <f t="shared" si="37"/>
        <v>2.540307142857143</v>
      </c>
      <c r="BA65" s="111">
        <f t="shared" si="38"/>
        <v>191.3168442427138</v>
      </c>
      <c r="BB65" s="111">
        <f t="shared" si="39"/>
        <v>134.00012857142855</v>
      </c>
      <c r="BC65" s="25">
        <f t="shared" si="40"/>
        <v>17.618728950865723</v>
      </c>
      <c r="BD65" s="80">
        <f>(('[1]setup'!$B$13*'[1]setup'!$B$14*'[1]setup'!$B$15)/10^(-S65))*10^6</f>
        <v>46.13109926225088</v>
      </c>
      <c r="BE65" s="74">
        <f t="shared" si="41"/>
        <v>23.421748762530637</v>
      </c>
      <c r="BF65" s="75">
        <f t="shared" si="42"/>
        <v>57.31671567128521</v>
      </c>
      <c r="BG65" s="73">
        <f t="shared" si="43"/>
        <v>191.57388382099066</v>
      </c>
      <c r="BH65" s="73">
        <f t="shared" si="44"/>
        <v>203.55297659621007</v>
      </c>
      <c r="BI65" s="76">
        <f t="shared" si="45"/>
        <v>3.0317080348754586</v>
      </c>
      <c r="BJ65" s="59"/>
      <c r="BK65" s="81">
        <f>(3*('[1]setup'!$D$19*(10^-S65)^3)+2*('[1]setup'!$D$20*'[1]setup'!$D$19*((10^-S65)^2))+('[1]setup'!$D$21*'[1]setup'!$D$19*10^-S65)+('[1]setup'!$D$19*'[1]setup'!$D$22*(AP65/(10^6*2))*(10^-S65)^3))*10^6</f>
        <v>0.00027322581986042937</v>
      </c>
      <c r="BL65" s="82">
        <f t="shared" si="46"/>
        <v>11.442929213131066</v>
      </c>
      <c r="BM65" s="75">
        <f>(BL65/((('[1]setup'!$C$26)/10^-S65)+2*(('[1]setup'!$C$26*'[1]setup'!$C$27)/(10^-S65^2))+3*(('[1]setup'!$C$26*'[1]setup'!$C$27*'[1]setup'!$C$28)/(10^-S65^3))))/(10^-S65^3/(10^-S65^3+'[1]setup'!$C$26*10^-S65^2+'[1]setup'!$C$26*'[1]setup'!$C$27*10^-S65+'[1]setup'!$C$26*'[1]setup'!$C$27*'[1]setup'!$C$28))</f>
        <v>4.454715443603718</v>
      </c>
      <c r="BN65" s="75"/>
      <c r="BO65" s="137">
        <f t="shared" si="47"/>
        <v>191.3168442427138</v>
      </c>
      <c r="BP65" s="137">
        <f t="shared" si="48"/>
        <v>134.00012857142855</v>
      </c>
      <c r="BQ65" s="137">
        <f t="shared" si="49"/>
        <v>1.4277362737061308</v>
      </c>
      <c r="BR65" s="137">
        <f t="shared" si="50"/>
        <v>56.60242995699954</v>
      </c>
      <c r="BS65" s="137">
        <f t="shared" si="51"/>
        <v>1.3260124842592718</v>
      </c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12.75">
      <c r="A66" s="138">
        <v>39636</v>
      </c>
      <c r="B66" s="8">
        <v>16.45</v>
      </c>
      <c r="C66" s="15" t="s">
        <v>90</v>
      </c>
      <c r="D66" s="141">
        <v>940503</v>
      </c>
      <c r="F66" s="162">
        <v>0.01997</v>
      </c>
      <c r="G66" s="162">
        <v>0.002</v>
      </c>
      <c r="H66" s="162">
        <v>0.07396</v>
      </c>
      <c r="I66" s="162">
        <v>2.876</v>
      </c>
      <c r="J66" s="145">
        <v>0.021</v>
      </c>
      <c r="K66" s="9">
        <v>0.04473</v>
      </c>
      <c r="L66" s="145">
        <v>0.005</v>
      </c>
      <c r="M66" s="162">
        <v>0.196</v>
      </c>
      <c r="N66" s="162">
        <v>0.7263</v>
      </c>
      <c r="O66" s="162">
        <v>0.3433</v>
      </c>
      <c r="P66" s="162">
        <v>2.949</v>
      </c>
      <c r="Q66" s="9">
        <v>0.5412</v>
      </c>
      <c r="R66" s="9">
        <v>2.94</v>
      </c>
      <c r="S66" s="9">
        <v>6.56</v>
      </c>
      <c r="T66" s="9">
        <v>19.9</v>
      </c>
      <c r="U66" s="9">
        <v>22.748</v>
      </c>
      <c r="V66" s="162">
        <v>0.07367</v>
      </c>
      <c r="W66" s="162"/>
      <c r="X66" s="162">
        <v>0.007618</v>
      </c>
      <c r="Y66" s="162">
        <v>0.002</v>
      </c>
      <c r="Z66" s="151">
        <v>4.095</v>
      </c>
      <c r="AA66" s="151">
        <v>0.2392</v>
      </c>
      <c r="AB66" s="76">
        <v>0.17347</v>
      </c>
      <c r="AC66" s="1"/>
      <c r="AD66" s="150"/>
      <c r="AE66" s="106">
        <f t="shared" si="0"/>
        <v>0.7132142857142858</v>
      </c>
      <c r="AF66" s="79">
        <f t="shared" si="1"/>
        <v>0.07272727272727272</v>
      </c>
      <c r="AG66" s="79">
        <f t="shared" si="2"/>
        <v>8.217777777777776</v>
      </c>
      <c r="AH66" s="79">
        <f t="shared" si="3"/>
        <v>410.8571428571429</v>
      </c>
      <c r="AI66" s="79">
        <f t="shared" si="4"/>
        <v>1.5</v>
      </c>
      <c r="AJ66" s="79">
        <f t="shared" si="5"/>
        <v>3.195</v>
      </c>
      <c r="AK66" s="79">
        <f t="shared" si="6"/>
        <v>0.4838709677419355</v>
      </c>
      <c r="AL66" s="79">
        <f t="shared" si="7"/>
        <v>5.0256410256410255</v>
      </c>
      <c r="AM66" s="79">
        <f t="shared" si="8"/>
        <v>36.315</v>
      </c>
      <c r="AN66" s="79">
        <f t="shared" si="9"/>
        <v>28.608333333333334</v>
      </c>
      <c r="AO66" s="79">
        <f t="shared" si="10"/>
        <v>128.2173913043478</v>
      </c>
      <c r="AP66" s="79">
        <f t="shared" si="11"/>
        <v>33.825</v>
      </c>
      <c r="AQ66" s="79">
        <f t="shared" si="12"/>
        <v>84</v>
      </c>
      <c r="AR66" s="69">
        <f t="shared" si="34"/>
        <v>0.27542287033381685</v>
      </c>
      <c r="AS66" s="79">
        <f t="shared" si="14"/>
        <v>7.129354838709677</v>
      </c>
      <c r="AT66" s="79"/>
      <c r="AU66" s="79">
        <f t="shared" si="16"/>
        <v>0.24184126984126986</v>
      </c>
      <c r="AV66" s="79">
        <f t="shared" si="17"/>
        <v>0.061538461538461535</v>
      </c>
      <c r="AW66" s="106">
        <f t="shared" si="35"/>
        <v>17.085714285714285</v>
      </c>
      <c r="AX66" s="69">
        <f t="shared" si="36"/>
        <v>12.390714285714287</v>
      </c>
      <c r="AY66" s="69"/>
      <c r="AZ66" s="69">
        <f t="shared" si="37"/>
        <v>4.695</v>
      </c>
      <c r="BA66" s="111">
        <f t="shared" si="38"/>
        <v>199.66636566332215</v>
      </c>
      <c r="BB66" s="111">
        <f t="shared" si="39"/>
        <v>121.02000000000001</v>
      </c>
      <c r="BC66" s="25">
        <f t="shared" si="40"/>
        <v>24.52438709099667</v>
      </c>
      <c r="BD66" s="80">
        <f>(('[1]setup'!$B$13*'[1]setup'!$B$14*'[1]setup'!$B$15)/10^(-S66))*10^6</f>
        <v>43.05204678698854</v>
      </c>
      <c r="BE66" s="74">
        <f t="shared" si="41"/>
        <v>39.29050037097915</v>
      </c>
      <c r="BF66" s="75">
        <f t="shared" si="42"/>
        <v>78.64636566332219</v>
      </c>
      <c r="BG66" s="73">
        <f t="shared" si="43"/>
        <v>199.941788533656</v>
      </c>
      <c r="BH66" s="73">
        <f t="shared" si="44"/>
        <v>203.3625471579677</v>
      </c>
      <c r="BI66" s="76">
        <f t="shared" si="45"/>
        <v>0.8481829530658201</v>
      </c>
      <c r="BJ66" s="59"/>
      <c r="BK66" s="81">
        <f>(3*('[1]setup'!$D$19*(10^-S66)^3)+2*('[1]setup'!$D$20*'[1]setup'!$D$19*((10^-S66)^2))+('[1]setup'!$D$21*'[1]setup'!$D$19*10^-S66)+('[1]setup'!$D$19*'[1]setup'!$D$22*(AP66/(10^6*2))*(10^-S66)^3))*10^6</f>
        <v>0.0002968408504746516</v>
      </c>
      <c r="BL66" s="82">
        <f t="shared" si="46"/>
        <v>35.87003858751791</v>
      </c>
      <c r="BM66" s="75">
        <f>(BL66/((('[1]setup'!$C$26)/10^-S66)+2*(('[1]setup'!$C$26*'[1]setup'!$C$27)/(10^-S66^2))+3*(('[1]setup'!$C$26*'[1]setup'!$C$27*'[1]setup'!$C$28)/(10^-S66^3))))/(10^-S66^3/(10^-S66^3+'[1]setup'!$C$26*10^-S66^2+'[1]setup'!$C$26*'[1]setup'!$C$27*10^-S66+'[1]setup'!$C$26*'[1]setup'!$C$27*'[1]setup'!$C$28))</f>
        <v>14.060129031635194</v>
      </c>
      <c r="BN66" s="75"/>
      <c r="BO66" s="137">
        <f t="shared" si="47"/>
        <v>199.66636566332215</v>
      </c>
      <c r="BP66" s="137">
        <f t="shared" si="48"/>
        <v>121.02000000000001</v>
      </c>
      <c r="BQ66" s="137">
        <f t="shared" si="49"/>
        <v>1.6498625488623544</v>
      </c>
      <c r="BR66" s="137">
        <f t="shared" si="50"/>
        <v>77.14636566332214</v>
      </c>
      <c r="BS66" s="137">
        <f t="shared" si="51"/>
        <v>1.52639751552795</v>
      </c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5" ht="12.75">
      <c r="A67" s="138">
        <v>39693</v>
      </c>
      <c r="B67" s="23">
        <v>11.2</v>
      </c>
      <c r="C67" s="15" t="s">
        <v>90</v>
      </c>
      <c r="D67" s="140">
        <v>946523</v>
      </c>
      <c r="E67" s="34"/>
      <c r="F67" s="9">
        <v>0.05315</v>
      </c>
      <c r="G67" s="9">
        <v>0.002</v>
      </c>
      <c r="H67" s="9">
        <v>0.05064</v>
      </c>
      <c r="I67" s="9">
        <v>2.728</v>
      </c>
      <c r="J67" s="9">
        <v>0.013</v>
      </c>
      <c r="K67" s="9">
        <v>0.03537</v>
      </c>
      <c r="L67" s="9">
        <v>0.005</v>
      </c>
      <c r="M67" s="9">
        <v>0.2416</v>
      </c>
      <c r="N67" s="9">
        <v>1.033</v>
      </c>
      <c r="O67" s="9">
        <v>0.4194</v>
      </c>
      <c r="P67" s="9">
        <v>3.704</v>
      </c>
      <c r="Q67" s="145">
        <v>0.594</v>
      </c>
      <c r="R67" s="9">
        <v>2.708</v>
      </c>
      <c r="S67" s="134">
        <v>6.67</v>
      </c>
      <c r="T67" s="134">
        <v>19.3</v>
      </c>
      <c r="U67" s="134">
        <v>21.73</v>
      </c>
      <c r="V67" s="9">
        <v>0.05</v>
      </c>
      <c r="W67" s="171"/>
      <c r="X67" s="9">
        <v>0.002029</v>
      </c>
      <c r="Y67" s="9">
        <v>0.002</v>
      </c>
      <c r="Z67" s="151">
        <v>2.065</v>
      </c>
      <c r="AA67" s="151">
        <v>0.1054</v>
      </c>
      <c r="AB67" s="76">
        <v>0.05703</v>
      </c>
      <c r="AD67" s="69"/>
      <c r="AE67" s="106">
        <f t="shared" si="0"/>
        <v>1.8982142857142859</v>
      </c>
      <c r="AF67" s="79">
        <f t="shared" si="1"/>
        <v>0.07272727272727272</v>
      </c>
      <c r="AG67" s="79">
        <f t="shared" si="2"/>
        <v>5.626666666666666</v>
      </c>
      <c r="AH67" s="79">
        <f t="shared" si="3"/>
        <v>389.7142857142857</v>
      </c>
      <c r="AI67" s="79">
        <f t="shared" si="4"/>
        <v>0.9285714285714286</v>
      </c>
      <c r="AJ67" s="79">
        <f t="shared" si="5"/>
        <v>2.5264285714285712</v>
      </c>
      <c r="AK67" s="79">
        <f t="shared" si="6"/>
        <v>0.4838709677419355</v>
      </c>
      <c r="AL67" s="79">
        <f t="shared" si="7"/>
        <v>6.194871794871795</v>
      </c>
      <c r="AM67" s="79">
        <f t="shared" si="8"/>
        <v>51.64999999999999</v>
      </c>
      <c r="AN67" s="79">
        <f t="shared" si="9"/>
        <v>34.95</v>
      </c>
      <c r="AO67" s="79">
        <f t="shared" si="10"/>
        <v>161.04347826086956</v>
      </c>
      <c r="AP67" s="79">
        <f t="shared" si="11"/>
        <v>37.125</v>
      </c>
      <c r="AQ67" s="79">
        <f t="shared" si="12"/>
        <v>77.37142857142858</v>
      </c>
      <c r="AR67" s="69">
        <f t="shared" si="34"/>
        <v>0.21379620895022322</v>
      </c>
      <c r="AS67" s="79">
        <f t="shared" si="14"/>
        <v>4.838709677419355</v>
      </c>
      <c r="AT67" s="79"/>
      <c r="AU67" s="79">
        <f t="shared" si="16"/>
        <v>0.06441269841269841</v>
      </c>
      <c r="AV67" s="79">
        <f t="shared" si="17"/>
        <v>0.061538461538461535</v>
      </c>
      <c r="AW67" s="106">
        <f t="shared" si="35"/>
        <v>7.528571428571428</v>
      </c>
      <c r="AX67" s="69">
        <f t="shared" si="36"/>
        <v>4.073571428571428</v>
      </c>
      <c r="AY67" s="69"/>
      <c r="AZ67" s="69">
        <f t="shared" si="37"/>
        <v>3.455</v>
      </c>
      <c r="BA67" s="111">
        <f t="shared" si="38"/>
        <v>254.76692148431277</v>
      </c>
      <c r="BB67" s="111">
        <f t="shared" si="39"/>
        <v>117.02285714285715</v>
      </c>
      <c r="BC67" s="25">
        <f t="shared" si="40"/>
        <v>37.04891104055474</v>
      </c>
      <c r="BD67" s="80">
        <f>(('[1]setup'!$B$13*'[1]setup'!$B$14*'[1]setup'!$B$15)/10^(-S67))*10^6</f>
        <v>55.46177997280986</v>
      </c>
      <c r="BE67" s="74">
        <f t="shared" si="41"/>
        <v>19.929827650360988</v>
      </c>
      <c r="BF67" s="75">
        <f t="shared" si="42"/>
        <v>137.7440643414556</v>
      </c>
      <c r="BG67" s="73">
        <f t="shared" si="43"/>
        <v>254.980717693263</v>
      </c>
      <c r="BH67" s="73">
        <f t="shared" si="44"/>
        <v>192.414464766028</v>
      </c>
      <c r="BI67" s="76">
        <f t="shared" si="45"/>
        <v>13.984561162083581</v>
      </c>
      <c r="BJ67" s="59"/>
      <c r="BK67" s="81">
        <f>(3*('[1]setup'!$D$19*(10^-S67)^3)+2*('[1]setup'!$D$20*'[1]setup'!$D$19*((10^-S67)^2))+('[1]setup'!$D$21*'[1]setup'!$D$19*10^-S67)+('[1]setup'!$D$19*'[1]setup'!$D$22*(AP67/(10^6*2))*(10^-S67)^3))*10^6</f>
        <v>0.00021998016542547247</v>
      </c>
      <c r="BL67" s="82">
        <f t="shared" si="46"/>
        <v>82.4963005577614</v>
      </c>
      <c r="BM67" s="75">
        <f>(BL67/((('[1]setup'!$C$26)/10^-S67)+2*(('[1]setup'!$C$26*'[1]setup'!$C$27)/(10^-S67^2))+3*(('[1]setup'!$C$26*'[1]setup'!$C$27*'[1]setup'!$C$28)/(10^-S67^3))))/(10^-S67^3/(10^-S67^3+'[1]setup'!$C$26*10^-S67^2+'[1]setup'!$C$26*'[1]setup'!$C$27*10^-S67+'[1]setup'!$C$26*'[1]setup'!$C$27*'[1]setup'!$C$28))</f>
        <v>31.555515459619247</v>
      </c>
      <c r="BN67" s="75"/>
      <c r="BO67" s="137">
        <f t="shared" si="47"/>
        <v>254.76692148431277</v>
      </c>
      <c r="BP67" s="137">
        <f t="shared" si="48"/>
        <v>117.02285714285715</v>
      </c>
      <c r="BQ67" s="137">
        <f t="shared" si="49"/>
        <v>2.1770697426512395</v>
      </c>
      <c r="BR67" s="137">
        <f t="shared" si="50"/>
        <v>136.81549291288422</v>
      </c>
      <c r="BS67" s="137">
        <f t="shared" si="51"/>
        <v>2.081433433947723</v>
      </c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12.75">
      <c r="A68" s="138">
        <v>39706</v>
      </c>
      <c r="B68" s="23">
        <v>17</v>
      </c>
      <c r="C68" s="15" t="s">
        <v>90</v>
      </c>
      <c r="D68" s="140">
        <v>947735</v>
      </c>
      <c r="E68" s="21"/>
      <c r="F68" s="9">
        <v>0.07571</v>
      </c>
      <c r="G68" s="9">
        <v>0.002404</v>
      </c>
      <c r="H68" s="9">
        <v>0.09254</v>
      </c>
      <c r="I68" s="9">
        <v>1.836</v>
      </c>
      <c r="J68" s="145">
        <v>0.01</v>
      </c>
      <c r="K68" s="9">
        <v>0.0255902</v>
      </c>
      <c r="L68" s="145">
        <v>0.005</v>
      </c>
      <c r="M68" s="9">
        <v>0.2154</v>
      </c>
      <c r="N68" s="9">
        <v>0.8659</v>
      </c>
      <c r="O68" s="9">
        <v>0.3548</v>
      </c>
      <c r="P68" s="9">
        <v>3.646</v>
      </c>
      <c r="Q68" s="9">
        <v>0.4866</v>
      </c>
      <c r="R68" s="9">
        <v>3.041</v>
      </c>
      <c r="S68" s="152">
        <v>6.13</v>
      </c>
      <c r="T68" s="152">
        <v>19.9</v>
      </c>
      <c r="U68" s="152">
        <v>21.801</v>
      </c>
      <c r="V68" s="9">
        <v>0.05</v>
      </c>
      <c r="W68" s="171"/>
      <c r="X68" s="9">
        <v>0.002943</v>
      </c>
      <c r="Y68" s="9">
        <v>0.002976</v>
      </c>
      <c r="Z68" s="33">
        <v>5.807</v>
      </c>
      <c r="AA68" s="33">
        <v>0.2014</v>
      </c>
      <c r="AB68" s="76">
        <v>0.1658098</v>
      </c>
      <c r="AE68" s="106">
        <f t="shared" si="0"/>
        <v>2.7039285714285715</v>
      </c>
      <c r="AF68" s="79">
        <f t="shared" si="1"/>
        <v>0.08741818181818181</v>
      </c>
      <c r="AG68" s="79">
        <f t="shared" si="2"/>
        <v>10.282222222222222</v>
      </c>
      <c r="AH68" s="79">
        <f t="shared" si="3"/>
        <v>262.2857142857143</v>
      </c>
      <c r="AI68" s="79">
        <f t="shared" si="4"/>
        <v>0.7142857142857143</v>
      </c>
      <c r="AJ68" s="79">
        <f t="shared" si="5"/>
        <v>1.8278714285714286</v>
      </c>
      <c r="AK68" s="79">
        <f t="shared" si="6"/>
        <v>0.4838709677419355</v>
      </c>
      <c r="AL68" s="79">
        <f t="shared" si="7"/>
        <v>5.523076923076923</v>
      </c>
      <c r="AM68" s="79">
        <f t="shared" si="8"/>
        <v>43.295</v>
      </c>
      <c r="AN68" s="79">
        <f t="shared" si="9"/>
        <v>29.566666666666666</v>
      </c>
      <c r="AO68" s="79">
        <f t="shared" si="10"/>
        <v>158.52173913043478</v>
      </c>
      <c r="AP68" s="79">
        <f t="shared" si="11"/>
        <v>30.412499999999998</v>
      </c>
      <c r="AQ68" s="79">
        <f t="shared" si="12"/>
        <v>86.88571428571429</v>
      </c>
      <c r="AR68" s="69">
        <f t="shared" si="34"/>
        <v>0.7413102413009177</v>
      </c>
      <c r="AS68" s="79">
        <f t="shared" si="14"/>
        <v>4.838709677419355</v>
      </c>
      <c r="AT68" s="79"/>
      <c r="AU68" s="79">
        <f t="shared" si="16"/>
        <v>0.09342857142857143</v>
      </c>
      <c r="AV68" s="79">
        <f t="shared" si="17"/>
        <v>0.09156923076923076</v>
      </c>
      <c r="AW68" s="106">
        <f t="shared" si="35"/>
        <v>14.385714285714284</v>
      </c>
      <c r="AX68" s="69">
        <f t="shared" si="36"/>
        <v>11.843557142857144</v>
      </c>
      <c r="AY68" s="69"/>
      <c r="AZ68" s="69">
        <f t="shared" si="37"/>
        <v>2.542157142857143</v>
      </c>
      <c r="BA68" s="111">
        <f t="shared" si="38"/>
        <v>237.62076843446408</v>
      </c>
      <c r="BB68" s="111">
        <f t="shared" si="39"/>
        <v>119.12608571428572</v>
      </c>
      <c r="BC68" s="25">
        <f t="shared" si="40"/>
        <v>33.21534060977889</v>
      </c>
      <c r="BD68" s="80">
        <f>(('[1]setup'!$B$13*'[1]setup'!$B$14*'[1]setup'!$B$15)/10^(-S68))*10^6</f>
        <v>15.99535206610599</v>
      </c>
      <c r="BE68" s="74">
        <f t="shared" si="41"/>
        <v>53.9623647409828</v>
      </c>
      <c r="BF68" s="75">
        <f t="shared" si="42"/>
        <v>118.49468272017837</v>
      </c>
      <c r="BG68" s="73">
        <f t="shared" si="43"/>
        <v>238.362078675765</v>
      </c>
      <c r="BH68" s="73">
        <f t="shared" si="44"/>
        <v>189.0838025213745</v>
      </c>
      <c r="BI68" s="76">
        <f t="shared" si="45"/>
        <v>11.528541582007472</v>
      </c>
      <c r="BJ68" s="59"/>
      <c r="BK68" s="81">
        <f>(3*('[1]setup'!$D$19*(10^-S68)^3)+2*('[1]setup'!$D$20*'[1]setup'!$D$19*((10^-S68)^2))+('[1]setup'!$D$21*'[1]setup'!$D$19*10^-S68)+('[1]setup'!$D$19*'[1]setup'!$D$22*(AP68/(10^6*2))*(10^-S68)^3))*10^6</f>
        <v>0.0011275517841952516</v>
      </c>
      <c r="BL68" s="82">
        <f t="shared" si="46"/>
        <v>103.24176844715751</v>
      </c>
      <c r="BM68" s="75">
        <f>(BL68/((('[1]setup'!$C$26)/10^-S68)+2*(('[1]setup'!$C$26*'[1]setup'!$C$27)/(10^-S68^2))+3*(('[1]setup'!$C$26*'[1]setup'!$C$27*'[1]setup'!$C$28)/(10^-S68^3))))/(10^-S68^3/(10^-S68^3+'[1]setup'!$C$26*10^-S68^2+'[1]setup'!$C$26*'[1]setup'!$C$27*10^-S68+'[1]setup'!$C$26*'[1]setup'!$C$27*'[1]setup'!$C$28))</f>
        <v>44.93769342428439</v>
      </c>
      <c r="BN68" s="75"/>
      <c r="BO68" s="137">
        <f t="shared" si="47"/>
        <v>237.62076843446408</v>
      </c>
      <c r="BP68" s="137">
        <f t="shared" si="48"/>
        <v>119.12608571428572</v>
      </c>
      <c r="BQ68" s="137">
        <f t="shared" si="49"/>
        <v>1.9946997083777123</v>
      </c>
      <c r="BR68" s="137">
        <f t="shared" si="50"/>
        <v>117.78039700589264</v>
      </c>
      <c r="BS68" s="137">
        <f t="shared" si="51"/>
        <v>1.8244856526028337</v>
      </c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71" s="25" customFormat="1" ht="12.75">
      <c r="A69" s="138">
        <v>39721</v>
      </c>
      <c r="B69" s="23">
        <v>13.1</v>
      </c>
      <c r="C69" s="15" t="s">
        <v>90</v>
      </c>
      <c r="D69" s="140">
        <v>948946</v>
      </c>
      <c r="E69"/>
      <c r="F69" s="9">
        <v>0.06415</v>
      </c>
      <c r="G69" s="9">
        <v>0.00233</v>
      </c>
      <c r="H69" s="9">
        <v>0.05555</v>
      </c>
      <c r="I69" s="9">
        <v>1.634</v>
      </c>
      <c r="J69" s="9">
        <v>0.01</v>
      </c>
      <c r="K69" s="165">
        <v>0.0255752</v>
      </c>
      <c r="L69" s="9">
        <v>0.005</v>
      </c>
      <c r="M69" s="9">
        <v>0.1803</v>
      </c>
      <c r="N69" s="9">
        <v>0.8585</v>
      </c>
      <c r="O69" s="9">
        <v>0.3575</v>
      </c>
      <c r="P69" s="9">
        <v>3.217</v>
      </c>
      <c r="Q69" s="165">
        <v>0.5606</v>
      </c>
      <c r="R69" s="165">
        <v>2.92</v>
      </c>
      <c r="S69" s="9">
        <v>6.43</v>
      </c>
      <c r="T69" s="9">
        <v>14.1</v>
      </c>
      <c r="U69" s="9">
        <v>20.776</v>
      </c>
      <c r="V69" s="9">
        <v>0.05</v>
      </c>
      <c r="W69" s="80"/>
      <c r="X69" s="9">
        <v>0.002024</v>
      </c>
      <c r="Y69" s="9">
        <v>0.002499</v>
      </c>
      <c r="Z69" s="151">
        <v>3.927</v>
      </c>
      <c r="AA69" s="151">
        <v>0.01</v>
      </c>
      <c r="AB69" s="76">
        <v>-0.0255752</v>
      </c>
      <c r="AD69" s="69"/>
      <c r="AE69" s="106">
        <f t="shared" si="0"/>
        <v>2.291071428571428</v>
      </c>
      <c r="AF69" s="79">
        <f t="shared" si="1"/>
        <v>0.08472727272727273</v>
      </c>
      <c r="AG69" s="79">
        <f t="shared" si="2"/>
        <v>6.172222222222223</v>
      </c>
      <c r="AH69" s="79">
        <f t="shared" si="3"/>
        <v>233.4285714285714</v>
      </c>
      <c r="AI69" s="79">
        <f t="shared" si="4"/>
        <v>0.7142857142857143</v>
      </c>
      <c r="AJ69" s="79">
        <f t="shared" si="5"/>
        <v>1.8268</v>
      </c>
      <c r="AK69" s="79">
        <f t="shared" si="6"/>
        <v>0.4838709677419355</v>
      </c>
      <c r="AL69" s="79">
        <f t="shared" si="7"/>
        <v>4.623076923076923</v>
      </c>
      <c r="AM69" s="79">
        <f t="shared" si="8"/>
        <v>42.925000000000004</v>
      </c>
      <c r="AN69" s="79">
        <f t="shared" si="9"/>
        <v>29.791666666666664</v>
      </c>
      <c r="AO69" s="79">
        <f t="shared" si="10"/>
        <v>139.8695652173913</v>
      </c>
      <c r="AP69" s="79">
        <f t="shared" si="11"/>
        <v>35.0375</v>
      </c>
      <c r="AQ69" s="79">
        <f t="shared" si="12"/>
        <v>83.42857142857142</v>
      </c>
      <c r="AR69" s="69">
        <f t="shared" si="34"/>
        <v>0.37153522909717274</v>
      </c>
      <c r="AS69" s="79">
        <f t="shared" si="14"/>
        <v>4.838709677419355</v>
      </c>
      <c r="AT69" s="79"/>
      <c r="AU69" s="79">
        <f t="shared" si="16"/>
        <v>0.06425396825396826</v>
      </c>
      <c r="AV69" s="79">
        <f t="shared" si="17"/>
        <v>0.07689230769230769</v>
      </c>
      <c r="AW69" s="106">
        <f t="shared" si="35"/>
        <v>0.7142857142857143</v>
      </c>
      <c r="AX69" s="69">
        <f t="shared" si="36"/>
        <v>-1.8268</v>
      </c>
      <c r="AY69" s="69"/>
      <c r="AZ69" s="69">
        <f t="shared" si="37"/>
        <v>2.5410857142857144</v>
      </c>
      <c r="BA69" s="111">
        <f t="shared" si="38"/>
        <v>217.92359452142063</v>
      </c>
      <c r="BB69" s="111">
        <f t="shared" si="39"/>
        <v>120.29287142857142</v>
      </c>
      <c r="BC69" s="25">
        <f t="shared" si="40"/>
        <v>28.866342393656456</v>
      </c>
      <c r="BD69" s="80">
        <f>(('[1]setup'!$B$13*'[1]setup'!$B$14*'[1]setup'!$B$15)/10^(-S69))*10^6</f>
        <v>31.914923192160852</v>
      </c>
      <c r="BE69" s="74">
        <f t="shared" si="41"/>
        <v>37.37698868824007</v>
      </c>
      <c r="BF69" s="75">
        <f t="shared" si="42"/>
        <v>97.63072309284921</v>
      </c>
      <c r="BG69" s="73">
        <f t="shared" si="43"/>
        <v>218.2951297505178</v>
      </c>
      <c r="BH69" s="73">
        <f t="shared" si="44"/>
        <v>189.58478330897233</v>
      </c>
      <c r="BI69" s="76">
        <f t="shared" si="45"/>
        <v>7.038921388942727</v>
      </c>
      <c r="BJ69" s="59"/>
      <c r="BK69" s="81">
        <f>(3*('[1]setup'!$D$19*(10^-S69)^3)+2*('[1]setup'!$D$20*'[1]setup'!$D$19*((10^-S69)^2))+('[1]setup'!$D$21*'[1]setup'!$D$19*10^-S69)+('[1]setup'!$D$19*'[1]setup'!$D$22*(AP69/(10^6*2))*(10^-S69)^3))*10^6</f>
        <v>0.0004304309000465818</v>
      </c>
      <c r="BL69" s="82">
        <f t="shared" si="46"/>
        <v>66.08776556068557</v>
      </c>
      <c r="BM69" s="75">
        <f>(BL69/((('[1]setup'!$C$26)/10^-S69)+2*(('[1]setup'!$C$26*'[1]setup'!$C$27)/(10^-S69^2))+3*(('[1]setup'!$C$26*'[1]setup'!$C$27*'[1]setup'!$C$28)/(10^-S69^3))))/(10^-S69^3/(10^-S69^3+'[1]setup'!$C$26*10^-S69^2+'[1]setup'!$C$26*'[1]setup'!$C$27*10^-S69+'[1]setup'!$C$26*'[1]setup'!$C$27*'[1]setup'!$C$28))</f>
        <v>26.717593528722734</v>
      </c>
      <c r="BN69" s="75"/>
      <c r="BO69" s="137">
        <f t="shared" si="47"/>
        <v>217.92359452142063</v>
      </c>
      <c r="BP69" s="137">
        <f t="shared" si="48"/>
        <v>120.29287142857142</v>
      </c>
      <c r="BQ69" s="137">
        <f t="shared" si="49"/>
        <v>1.8116085511419624</v>
      </c>
      <c r="BR69" s="137">
        <f t="shared" si="50"/>
        <v>96.91643737856349</v>
      </c>
      <c r="BS69" s="137">
        <f t="shared" si="51"/>
        <v>1.6765187611673618</v>
      </c>
    </row>
    <row r="70" spans="1:71" s="25" customFormat="1" ht="12.75">
      <c r="A70" s="138">
        <v>39735</v>
      </c>
      <c r="B70" s="23">
        <v>12.4</v>
      </c>
      <c r="C70" s="15" t="s">
        <v>90</v>
      </c>
      <c r="D70" s="140">
        <v>950251</v>
      </c>
      <c r="E70"/>
      <c r="F70" s="9">
        <v>0.006</v>
      </c>
      <c r="G70" s="9">
        <v>0.002508</v>
      </c>
      <c r="H70" s="9">
        <v>0.03132</v>
      </c>
      <c r="I70" s="9">
        <v>2.275</v>
      </c>
      <c r="J70" s="145">
        <v>0.01</v>
      </c>
      <c r="K70" s="165">
        <v>0.05648</v>
      </c>
      <c r="L70" s="145">
        <v>0.005</v>
      </c>
      <c r="M70" s="9">
        <v>0.1</v>
      </c>
      <c r="N70" s="9">
        <v>0.5111</v>
      </c>
      <c r="O70" s="9">
        <v>0.2757</v>
      </c>
      <c r="P70" s="9">
        <v>2.679</v>
      </c>
      <c r="Q70" s="165">
        <v>0.6199</v>
      </c>
      <c r="R70" s="165">
        <v>5.889</v>
      </c>
      <c r="S70" s="9">
        <v>6.47</v>
      </c>
      <c r="T70" s="9">
        <v>18.5</v>
      </c>
      <c r="U70" s="9">
        <v>20.829</v>
      </c>
      <c r="V70" s="9">
        <v>0.05</v>
      </c>
      <c r="W70" s="9"/>
      <c r="X70" s="9">
        <v>0.002101</v>
      </c>
      <c r="Y70" s="9">
        <v>0.002</v>
      </c>
      <c r="Z70" s="33">
        <v>2.405</v>
      </c>
      <c r="AA70" s="1">
        <v>0.01</v>
      </c>
      <c r="AB70" s="76">
        <v>-0.056479999999999995</v>
      </c>
      <c r="AD70" s="69"/>
      <c r="AE70" s="106">
        <f t="shared" si="0"/>
        <v>0.2142857142857143</v>
      </c>
      <c r="AF70" s="79">
        <f t="shared" si="1"/>
        <v>0.09119999999999999</v>
      </c>
      <c r="AG70" s="79">
        <f t="shared" si="2"/>
        <v>3.48</v>
      </c>
      <c r="AH70" s="79">
        <f t="shared" si="3"/>
        <v>325</v>
      </c>
      <c r="AI70" s="79">
        <f t="shared" si="4"/>
        <v>0.7142857142857143</v>
      </c>
      <c r="AJ70" s="79">
        <f t="shared" si="5"/>
        <v>4.034285714285714</v>
      </c>
      <c r="AK70" s="79">
        <f t="shared" si="6"/>
        <v>0.4838709677419355</v>
      </c>
      <c r="AL70" s="79">
        <f t="shared" si="7"/>
        <v>2.5641025641025643</v>
      </c>
      <c r="AM70" s="79">
        <f t="shared" si="8"/>
        <v>25.555</v>
      </c>
      <c r="AN70" s="79">
        <f t="shared" si="9"/>
        <v>22.974999999999998</v>
      </c>
      <c r="AO70" s="79">
        <f t="shared" si="10"/>
        <v>116.47826086956522</v>
      </c>
      <c r="AP70" s="79">
        <f t="shared" si="11"/>
        <v>38.74375</v>
      </c>
      <c r="AQ70" s="79">
        <f t="shared" si="12"/>
        <v>168.25714285714287</v>
      </c>
      <c r="AR70" s="69">
        <f t="shared" si="34"/>
        <v>0.3388441561392027</v>
      </c>
      <c r="AS70" s="79">
        <f t="shared" si="14"/>
        <v>4.838709677419355</v>
      </c>
      <c r="AT70" s="79"/>
      <c r="AU70" s="79">
        <f t="shared" si="16"/>
        <v>0.06669841269841269</v>
      </c>
      <c r="AV70" s="79">
        <f t="shared" si="17"/>
        <v>0.061538461538461535</v>
      </c>
      <c r="AW70" s="106">
        <f t="shared" si="35"/>
        <v>0.7142857142857143</v>
      </c>
      <c r="AX70" s="69">
        <f t="shared" si="36"/>
        <v>-4.034285714285714</v>
      </c>
      <c r="AY70" s="69"/>
      <c r="AZ70" s="69">
        <f t="shared" si="37"/>
        <v>4.748571428571428</v>
      </c>
      <c r="BA70" s="111">
        <f t="shared" si="38"/>
        <v>168.2866491479535</v>
      </c>
      <c r="BB70" s="111">
        <f t="shared" si="39"/>
        <v>211.0351785714286</v>
      </c>
      <c r="BC70" s="25">
        <f t="shared" si="40"/>
        <v>11.269725678718375</v>
      </c>
      <c r="BD70" s="80">
        <f>(('[1]setup'!$B$13*'[1]setup'!$B$14*'[1]setup'!$B$15)/10^(-S70))*10^6</f>
        <v>34.99401741178882</v>
      </c>
      <c r="BE70" s="74">
        <f t="shared" si="41"/>
        <v>22.95044728801209</v>
      </c>
      <c r="BF70" s="75">
        <f t="shared" si="42"/>
        <v>-42.74852942347508</v>
      </c>
      <c r="BG70" s="73">
        <f t="shared" si="43"/>
        <v>168.6254933040927</v>
      </c>
      <c r="BH70" s="73">
        <f t="shared" si="44"/>
        <v>268.9796432712295</v>
      </c>
      <c r="BI70" s="76">
        <f t="shared" si="45"/>
        <v>22.93258044284027</v>
      </c>
      <c r="BJ70" s="59"/>
      <c r="BK70" s="81">
        <f>(3*('[1]setup'!$D$19*(10^-S70)^3)+2*('[1]setup'!$D$20*'[1]setup'!$D$19*((10^-S70)^2))+('[1]setup'!$D$21*'[1]setup'!$D$19*10^-S70)+('[1]setup'!$D$19*'[1]setup'!$D$22*(AP70/(10^6*2))*(10^-S70)^3))*10^6</f>
        <v>0.0003830449996486235</v>
      </c>
      <c r="BL70" s="82">
        <f t="shared" si="46"/>
        <v>-77.40331963412504</v>
      </c>
      <c r="BM70" s="75">
        <f>(BL70/((('[1]setup'!$C$26)/10^-S70)+2*(('[1]setup'!$C$26*'[1]setup'!$C$27)/(10^-S70^2))+3*(('[1]setup'!$C$26*'[1]setup'!$C$27*'[1]setup'!$C$28)/(10^-S70^3))))/(10^-S70^3/(10^-S70^3+'[1]setup'!$C$26*10^-S70^2+'[1]setup'!$C$26*'[1]setup'!$C$27*10^-S70+'[1]setup'!$C$26*'[1]setup'!$C$27*'[1]setup'!$C$28))</f>
        <v>-30.990643979338685</v>
      </c>
      <c r="BN70" s="75"/>
      <c r="BO70" s="137">
        <f t="shared" si="47"/>
        <v>168.28664914795348</v>
      </c>
      <c r="BP70" s="137">
        <f t="shared" si="48"/>
        <v>211.0351785714286</v>
      </c>
      <c r="BQ70" s="137">
        <f t="shared" si="49"/>
        <v>0.7974341068969878</v>
      </c>
      <c r="BR70" s="137">
        <f t="shared" si="50"/>
        <v>-43.4628151377608</v>
      </c>
      <c r="BS70" s="137">
        <f t="shared" si="51"/>
        <v>0.6922633945380849</v>
      </c>
    </row>
    <row r="71" spans="1:71" ht="12.75">
      <c r="A71" s="138">
        <v>39757</v>
      </c>
      <c r="B71" s="23">
        <v>12.15</v>
      </c>
      <c r="C71" s="15" t="s">
        <v>90</v>
      </c>
      <c r="D71" s="1">
        <v>953302</v>
      </c>
      <c r="F71" s="9">
        <v>0.04517</v>
      </c>
      <c r="G71" s="9">
        <v>0.002236</v>
      </c>
      <c r="H71" s="9">
        <v>0.09834</v>
      </c>
      <c r="I71" s="9">
        <v>1.973</v>
      </c>
      <c r="J71" s="9">
        <v>0.01</v>
      </c>
      <c r="K71" s="165">
        <v>0.025305</v>
      </c>
      <c r="L71" s="134">
        <v>0.005</v>
      </c>
      <c r="M71" s="9">
        <v>0.2556</v>
      </c>
      <c r="N71" s="9">
        <v>0.6003</v>
      </c>
      <c r="O71" s="9">
        <v>0.3577</v>
      </c>
      <c r="P71" s="9">
        <v>3.061</v>
      </c>
      <c r="Q71" s="165">
        <v>0.4579</v>
      </c>
      <c r="R71" s="165">
        <v>3.61</v>
      </c>
      <c r="S71" s="9">
        <v>5.697</v>
      </c>
      <c r="T71" s="9">
        <v>19.6</v>
      </c>
      <c r="U71" s="9">
        <v>23.23</v>
      </c>
      <c r="V71" s="9">
        <v>0.05</v>
      </c>
      <c r="W71" s="9"/>
      <c r="X71" s="9">
        <v>0.005851</v>
      </c>
      <c r="Y71" s="9">
        <v>0.002519</v>
      </c>
      <c r="Z71" s="33">
        <v>5.81</v>
      </c>
      <c r="AA71" s="33">
        <v>0.1417</v>
      </c>
      <c r="AB71" s="76">
        <v>0.10639499999999999</v>
      </c>
      <c r="AC71" s="1"/>
      <c r="AE71" s="106">
        <f t="shared" si="0"/>
        <v>1.6132142857142857</v>
      </c>
      <c r="AF71" s="79">
        <f t="shared" si="1"/>
        <v>0.08130909090909091</v>
      </c>
      <c r="AG71" s="79">
        <f t="shared" si="2"/>
        <v>10.926666666666666</v>
      </c>
      <c r="AH71" s="79">
        <f t="shared" si="3"/>
        <v>281.8571428571429</v>
      </c>
      <c r="AI71" s="79">
        <f t="shared" si="4"/>
        <v>0.7142857142857143</v>
      </c>
      <c r="AJ71" s="79">
        <f t="shared" si="5"/>
        <v>1.8075</v>
      </c>
      <c r="AK71" s="79">
        <f t="shared" si="6"/>
        <v>0.4838709677419355</v>
      </c>
      <c r="AL71" s="79">
        <f t="shared" si="7"/>
        <v>6.553846153846154</v>
      </c>
      <c r="AM71" s="79">
        <f t="shared" si="8"/>
        <v>30.014999999999997</v>
      </c>
      <c r="AN71" s="79">
        <f t="shared" si="9"/>
        <v>29.808333333333337</v>
      </c>
      <c r="AO71" s="79">
        <f t="shared" si="10"/>
        <v>133.08695652173913</v>
      </c>
      <c r="AP71" s="79">
        <f t="shared" si="11"/>
        <v>28.61875</v>
      </c>
      <c r="AQ71" s="79">
        <f t="shared" si="12"/>
        <v>103.14285714285714</v>
      </c>
      <c r="AR71" s="69">
        <f t="shared" si="34"/>
        <v>2.0090928126087277</v>
      </c>
      <c r="AS71" s="79">
        <f t="shared" si="14"/>
        <v>4.838709677419355</v>
      </c>
      <c r="AT71" s="79"/>
      <c r="AU71" s="79">
        <f t="shared" si="16"/>
        <v>0.18574603174603174</v>
      </c>
      <c r="AV71" s="79">
        <f t="shared" si="17"/>
        <v>0.0775076923076923</v>
      </c>
      <c r="AW71" s="106">
        <f t="shared" si="35"/>
        <v>10.121428571428572</v>
      </c>
      <c r="AX71" s="69">
        <f t="shared" si="36"/>
        <v>7.599642857142856</v>
      </c>
      <c r="AY71" s="69"/>
      <c r="AZ71" s="69">
        <f t="shared" si="37"/>
        <v>2.5217857142857145</v>
      </c>
      <c r="BA71" s="111">
        <f t="shared" si="38"/>
        <v>200.17842172320434</v>
      </c>
      <c r="BB71" s="111">
        <f t="shared" si="39"/>
        <v>133.56910714285715</v>
      </c>
      <c r="BC71" s="25">
        <f t="shared" si="40"/>
        <v>19.957994837192828</v>
      </c>
      <c r="BD71" s="80">
        <f>(('[1]setup'!$B$13*'[1]setup'!$B$14*'[1]setup'!$B$15)/10^(-S71))*10^6</f>
        <v>5.9019265936358805</v>
      </c>
      <c r="BE71" s="74">
        <f t="shared" si="41"/>
        <v>51.27047096337229</v>
      </c>
      <c r="BF71" s="75">
        <f t="shared" si="42"/>
        <v>66.60931458034719</v>
      </c>
      <c r="BG71" s="73">
        <f t="shared" si="43"/>
        <v>202.18751453581305</v>
      </c>
      <c r="BH71" s="73">
        <f t="shared" si="44"/>
        <v>190.74150469986535</v>
      </c>
      <c r="BI71" s="76">
        <f t="shared" si="45"/>
        <v>2.9129968201921987</v>
      </c>
      <c r="BJ71" s="59"/>
      <c r="BK71" s="81">
        <f>(3*('[1]setup'!$D$19*(10^-S71)^3)+2*('[1]setup'!$D$20*'[1]setup'!$D$19*((10^-S71)^2))+('[1]setup'!$D$21*'[1]setup'!$D$19*10^-S71)+('[1]setup'!$D$19*'[1]setup'!$D$22*(AP71/(10^6*2))*(10^-S71)^3))*10^6</f>
        <v>0.006809052282065498</v>
      </c>
      <c r="BL71" s="82">
        <f t="shared" si="46"/>
        <v>62.72328985160209</v>
      </c>
      <c r="BM71" s="75">
        <f>(BL71/((('[1]setup'!$C$26)/10^-S71)+2*(('[1]setup'!$C$26*'[1]setup'!$C$27)/(10^-S71^2))+3*(('[1]setup'!$C$26*'[1]setup'!$C$27*'[1]setup'!$C$28)/(10^-S71^3))))/(10^-S71^3/(10^-S71^3+'[1]setup'!$C$26*10^-S71^2+'[1]setup'!$C$26*'[1]setup'!$C$27*10^-S71+'[1]setup'!$C$26*'[1]setup'!$C$27*'[1]setup'!$C$28))</f>
        <v>30.05892649152901</v>
      </c>
      <c r="BN71" s="75"/>
      <c r="BO71" s="137">
        <f t="shared" si="47"/>
        <v>200.17842172320434</v>
      </c>
      <c r="BP71" s="137">
        <f t="shared" si="48"/>
        <v>133.56910714285715</v>
      </c>
      <c r="BQ71" s="137">
        <f t="shared" si="49"/>
        <v>1.4986880275324894</v>
      </c>
      <c r="BR71" s="137">
        <f t="shared" si="50"/>
        <v>65.89502886606147</v>
      </c>
      <c r="BS71" s="137">
        <f t="shared" si="51"/>
        <v>1.2903167529808504</v>
      </c>
    </row>
    <row r="72" spans="1:71" ht="12.75">
      <c r="A72" s="138">
        <v>39840</v>
      </c>
      <c r="B72" s="23">
        <v>16.2</v>
      </c>
      <c r="C72" s="15" t="s">
        <v>90</v>
      </c>
      <c r="D72" s="140">
        <v>964406</v>
      </c>
      <c r="F72" s="9">
        <v>0.006</v>
      </c>
      <c r="G72" s="9">
        <v>0.002444</v>
      </c>
      <c r="H72" s="9">
        <v>0.04775</v>
      </c>
      <c r="I72" s="9">
        <v>2.51</v>
      </c>
      <c r="J72" s="9">
        <v>0.021</v>
      </c>
      <c r="K72" s="165">
        <v>0.025859</v>
      </c>
      <c r="L72" s="9">
        <v>0.005</v>
      </c>
      <c r="M72" s="9">
        <v>0.2441</v>
      </c>
      <c r="N72" s="9">
        <v>0.678</v>
      </c>
      <c r="O72" s="9">
        <v>0.3635</v>
      </c>
      <c r="P72" s="9">
        <v>3.081</v>
      </c>
      <c r="Q72" s="165">
        <v>0.5746</v>
      </c>
      <c r="R72" s="165">
        <v>3.911</v>
      </c>
      <c r="S72" s="9">
        <v>6.075</v>
      </c>
      <c r="T72" s="9">
        <v>18.3</v>
      </c>
      <c r="U72" s="9">
        <v>23.63</v>
      </c>
      <c r="V72" s="9">
        <v>0.05</v>
      </c>
      <c r="W72" s="9"/>
      <c r="X72" s="9">
        <v>0.002556</v>
      </c>
      <c r="Y72" s="9">
        <v>0.002108</v>
      </c>
      <c r="Z72" s="94">
        <v>3.441</v>
      </c>
      <c r="AA72" s="94">
        <v>0.1974</v>
      </c>
      <c r="AB72" s="76">
        <v>0.15054099999999998</v>
      </c>
      <c r="AE72" s="106">
        <f t="shared" si="0"/>
        <v>0.2142857142857143</v>
      </c>
      <c r="AF72" s="79">
        <f t="shared" si="1"/>
        <v>0.08887272727272727</v>
      </c>
      <c r="AG72" s="79">
        <f t="shared" si="2"/>
        <v>5.305555555555555</v>
      </c>
      <c r="AH72" s="79">
        <f t="shared" si="3"/>
        <v>358.57142857142856</v>
      </c>
      <c r="AI72" s="79">
        <f t="shared" si="4"/>
        <v>1.5</v>
      </c>
      <c r="AJ72" s="79">
        <f t="shared" si="5"/>
        <v>1.8470714285714287</v>
      </c>
      <c r="AK72" s="79">
        <f t="shared" si="6"/>
        <v>0.4838709677419355</v>
      </c>
      <c r="AL72" s="79">
        <f t="shared" si="7"/>
        <v>6.25897435897436</v>
      </c>
      <c r="AM72" s="79">
        <f t="shared" si="8"/>
        <v>33.9</v>
      </c>
      <c r="AN72" s="79">
        <f t="shared" si="9"/>
        <v>30.291666666666664</v>
      </c>
      <c r="AO72" s="79">
        <f t="shared" si="10"/>
        <v>133.95652173913044</v>
      </c>
      <c r="AP72" s="79">
        <f t="shared" si="11"/>
        <v>35.9125</v>
      </c>
      <c r="AQ72" s="79">
        <f t="shared" si="12"/>
        <v>111.74285714285715</v>
      </c>
      <c r="AR72" s="69">
        <f t="shared" si="34"/>
        <v>0.8413951416451947</v>
      </c>
      <c r="AS72" s="79">
        <f t="shared" si="14"/>
        <v>4.838709677419355</v>
      </c>
      <c r="AT72" s="79"/>
      <c r="AU72" s="79">
        <f t="shared" si="16"/>
        <v>0.08114285714285714</v>
      </c>
      <c r="AV72" s="79">
        <f t="shared" si="17"/>
        <v>0.06486153846153846</v>
      </c>
      <c r="AW72" s="106">
        <f t="shared" si="35"/>
        <v>14.1</v>
      </c>
      <c r="AX72" s="69">
        <f t="shared" si="36"/>
        <v>10.75292857142857</v>
      </c>
      <c r="AY72" s="69"/>
      <c r="AZ72" s="69">
        <f t="shared" si="37"/>
        <v>3.3470714285714287</v>
      </c>
      <c r="BA72" s="111">
        <f t="shared" si="38"/>
        <v>205.90716276477147</v>
      </c>
      <c r="BB72" s="111">
        <f t="shared" si="39"/>
        <v>149.5024285714286</v>
      </c>
      <c r="BC72" s="25">
        <f t="shared" si="40"/>
        <v>15.870346655891671</v>
      </c>
      <c r="BD72" s="80">
        <f>(('[1]setup'!$B$13*'[1]setup'!$B$14*'[1]setup'!$B$15)/10^(-S72))*10^6</f>
        <v>14.0926869112091</v>
      </c>
      <c r="BE72" s="74">
        <f t="shared" si="41"/>
        <v>31.805730084313378</v>
      </c>
      <c r="BF72" s="75">
        <f t="shared" si="42"/>
        <v>56.404734193342875</v>
      </c>
      <c r="BG72" s="73">
        <f t="shared" si="43"/>
        <v>206.74855790641666</v>
      </c>
      <c r="BH72" s="73">
        <f t="shared" si="44"/>
        <v>195.4008455669511</v>
      </c>
      <c r="BI72" s="76">
        <f t="shared" si="45"/>
        <v>2.8217653045000906</v>
      </c>
      <c r="BJ72" s="59"/>
      <c r="BK72" s="81">
        <f>(3*('[1]setup'!$D$19*(10^-S72)^3)+2*('[1]setup'!$D$20*'[1]setup'!$D$19*((10^-S72)^2))+('[1]setup'!$D$21*'[1]setup'!$D$19*10^-S72)+('[1]setup'!$D$19*'[1]setup'!$D$22*(AP72/(10^6*2))*(10^-S72)^3))*10^6</f>
        <v>0.0013744012376030667</v>
      </c>
      <c r="BL72" s="82">
        <f t="shared" si="46"/>
        <v>43.15481682501655</v>
      </c>
      <c r="BM72" s="75">
        <f>(BL72/((('[1]setup'!$C$26)/10^-S72)+2*(('[1]setup'!$C$26*'[1]setup'!$C$27)/(10^-S72^2))+3*(('[1]setup'!$C$26*'[1]setup'!$C$27*'[1]setup'!$C$28)/(10^-S72^3))))/(10^-S72^3/(10^-S72^3+'[1]setup'!$C$26*10^-S72^2+'[1]setup'!$C$26*'[1]setup'!$C$27*10^-S72+'[1]setup'!$C$26*'[1]setup'!$C$27*'[1]setup'!$C$28))</f>
        <v>19.033092708186935</v>
      </c>
      <c r="BN72" s="75"/>
      <c r="BO72" s="137">
        <f t="shared" si="47"/>
        <v>205.90716276477147</v>
      </c>
      <c r="BP72" s="137">
        <f t="shared" si="48"/>
        <v>149.5024285714286</v>
      </c>
      <c r="BQ72" s="137">
        <f t="shared" si="49"/>
        <v>1.3772830631068584</v>
      </c>
      <c r="BR72" s="137">
        <f t="shared" si="50"/>
        <v>54.904734193342875</v>
      </c>
      <c r="BS72" s="137">
        <f t="shared" si="51"/>
        <v>1.1987927028559358</v>
      </c>
    </row>
    <row r="73" spans="1:71" ht="12.75">
      <c r="A73" s="138">
        <v>39875</v>
      </c>
      <c r="B73" s="23">
        <v>12.1</v>
      </c>
      <c r="C73" s="15" t="s">
        <v>90</v>
      </c>
      <c r="D73" s="140">
        <v>968391</v>
      </c>
      <c r="F73" s="9">
        <v>0.006</v>
      </c>
      <c r="G73" s="9">
        <v>0.002403</v>
      </c>
      <c r="H73" s="9">
        <v>0.0483</v>
      </c>
      <c r="I73" s="9">
        <v>2.18</v>
      </c>
      <c r="J73" s="9">
        <v>0.01</v>
      </c>
      <c r="K73" s="165">
        <v>0.0255</v>
      </c>
      <c r="L73" s="9">
        <v>0.005</v>
      </c>
      <c r="M73" s="9">
        <v>0.2133</v>
      </c>
      <c r="N73" s="9">
        <v>0.5527</v>
      </c>
      <c r="O73" s="9">
        <v>0.306</v>
      </c>
      <c r="P73" s="9">
        <v>2.878</v>
      </c>
      <c r="Q73" s="165">
        <v>0.5339</v>
      </c>
      <c r="R73" s="165">
        <v>0.405</v>
      </c>
      <c r="S73" s="9">
        <v>6.222</v>
      </c>
      <c r="T73" s="9">
        <v>19.4</v>
      </c>
      <c r="U73" s="9">
        <v>19.7</v>
      </c>
      <c r="V73" s="9">
        <v>0.05</v>
      </c>
      <c r="W73" s="9"/>
      <c r="X73" s="9">
        <v>0.002</v>
      </c>
      <c r="Y73" s="9">
        <v>0.002</v>
      </c>
      <c r="Z73" s="94">
        <v>2.582</v>
      </c>
      <c r="AA73" s="94">
        <v>0.1011</v>
      </c>
      <c r="AB73" s="76">
        <v>0.06559999999999999</v>
      </c>
      <c r="AE73" s="106">
        <f aca="true" t="shared" si="52" ref="AE73:AE104">$F73/56*2*1000</f>
        <v>0.2142857142857143</v>
      </c>
      <c r="AF73" s="79">
        <f aca="true" t="shared" si="53" ref="AF73:AF104">$G73/55*2*1000</f>
        <v>0.08738181818181819</v>
      </c>
      <c r="AG73" s="79">
        <f aca="true" t="shared" si="54" ref="AG73:AG104">$H73/27*3*1000</f>
        <v>5.366666666666667</v>
      </c>
      <c r="AH73" s="79">
        <f aca="true" t="shared" si="55" ref="AH73:AH104">$I73/28*4*1000</f>
        <v>311.42857142857144</v>
      </c>
      <c r="AI73" s="79">
        <f aca="true" t="shared" si="56" ref="AI73:AI104">$J73/14*1*1000</f>
        <v>0.7142857142857143</v>
      </c>
      <c r="AJ73" s="79">
        <f aca="true" t="shared" si="57" ref="AJ73:AJ104">$K73/14*1*1000</f>
        <v>1.8214285714285712</v>
      </c>
      <c r="AK73" s="79">
        <f aca="true" t="shared" si="58" ref="AK73:AK104">$L73/31*3*1000</f>
        <v>0.4838709677419355</v>
      </c>
      <c r="AL73" s="79">
        <f aca="true" t="shared" si="59" ref="AL73:AL104">$M73/39*1*1000</f>
        <v>5.4692307692307685</v>
      </c>
      <c r="AM73" s="79">
        <f aca="true" t="shared" si="60" ref="AM73:AM104">$N73/40*2*1000</f>
        <v>27.635</v>
      </c>
      <c r="AN73" s="79">
        <f aca="true" t="shared" si="61" ref="AN73:AN104">$O73/24*2*1000</f>
        <v>25.5</v>
      </c>
      <c r="AO73" s="79">
        <f aca="true" t="shared" si="62" ref="AO73:AO104">$P73/23*1*1000</f>
        <v>125.13043478260872</v>
      </c>
      <c r="AP73" s="79">
        <f aca="true" t="shared" si="63" ref="AP73:AP104">$Q73/32*2*1000</f>
        <v>33.368750000000006</v>
      </c>
      <c r="AQ73" s="79">
        <f aca="true" t="shared" si="64" ref="AQ73:AQ104">$R73/35*1*1000</f>
        <v>11.571428571428573</v>
      </c>
      <c r="AR73" s="69">
        <f t="shared" si="34"/>
        <v>0.5997910762555088</v>
      </c>
      <c r="AS73" s="79">
        <f aca="true" t="shared" si="65" ref="AS73:AS104">$V73/31*3*1000</f>
        <v>4.838709677419355</v>
      </c>
      <c r="AT73" s="79"/>
      <c r="AU73" s="79">
        <f aca="true" t="shared" si="66" ref="AU73:AU104">$X73/63*2*1000</f>
        <v>0.06349206349206349</v>
      </c>
      <c r="AV73" s="79">
        <f aca="true" t="shared" si="67" ref="AV73:AV104">$Y73/65*2*1000</f>
        <v>0.061538461538461535</v>
      </c>
      <c r="AW73" s="106">
        <f t="shared" si="35"/>
        <v>7.2214285714285715</v>
      </c>
      <c r="AX73" s="69">
        <f t="shared" si="36"/>
        <v>4.685714285714285</v>
      </c>
      <c r="AY73" s="69"/>
      <c r="AZ73" s="69">
        <f t="shared" si="37"/>
        <v>2.5357142857142856</v>
      </c>
      <c r="BA73" s="111">
        <f t="shared" si="38"/>
        <v>184.44895126612522</v>
      </c>
      <c r="BB73" s="111">
        <f t="shared" si="39"/>
        <v>46.761607142857144</v>
      </c>
      <c r="BC73" s="25">
        <f t="shared" si="40"/>
        <v>59.55062998451675</v>
      </c>
      <c r="BD73" s="80">
        <f>(('[1]setup'!$B$13*'[1]setup'!$B$14*'[1]setup'!$B$15)/10^(-S73))*10^6</f>
        <v>19.769414333145054</v>
      </c>
      <c r="BE73" s="74">
        <f t="shared" si="41"/>
        <v>24.19200246817013</v>
      </c>
      <c r="BF73" s="75">
        <f t="shared" si="42"/>
        <v>137.68734412326808</v>
      </c>
      <c r="BG73" s="73">
        <f t="shared" si="43"/>
        <v>185.04874234238073</v>
      </c>
      <c r="BH73" s="73">
        <f t="shared" si="44"/>
        <v>90.72302394417233</v>
      </c>
      <c r="BI73" s="76">
        <f t="shared" si="45"/>
        <v>34.204269591614036</v>
      </c>
      <c r="BJ73" s="59"/>
      <c r="BK73" s="81">
        <f>(3*('[1]setup'!$D$19*(10^-S73)^3)+2*('[1]setup'!$D$20*'[1]setup'!$D$19*((10^-S73)^2))+('[1]setup'!$D$21*'[1]setup'!$D$19*10^-S73)+('[1]setup'!$D$19*'[1]setup'!$D$22*(AP73/(10^6*2))*(10^-S73)^3))*10^6</f>
        <v>0.0008232677460794705</v>
      </c>
      <c r="BL73" s="82">
        <f t="shared" si="46"/>
        <v>118.51854413412462</v>
      </c>
      <c r="BM73" s="75">
        <f>(BL73/((('[1]setup'!$C$26)/10^-S73)+2*(('[1]setup'!$C$26*'[1]setup'!$C$27)/(10^-S73^2))+3*(('[1]setup'!$C$26*'[1]setup'!$C$27*'[1]setup'!$C$28)/(10^-S73^3))))/(10^-S73^3/(10^-S73^3+'[1]setup'!$C$26*10^-S73^2+'[1]setup'!$C$26*'[1]setup'!$C$27*10^-S73+'[1]setup'!$C$26*'[1]setup'!$C$27*'[1]setup'!$C$28))</f>
        <v>50.43973141528796</v>
      </c>
      <c r="BN73" s="75"/>
      <c r="BO73" s="137">
        <f t="shared" si="47"/>
        <v>184.4489512661252</v>
      </c>
      <c r="BP73" s="137">
        <f t="shared" si="48"/>
        <v>46.761607142857144</v>
      </c>
      <c r="BQ73" s="137">
        <f t="shared" si="49"/>
        <v>3.9444527794485746</v>
      </c>
      <c r="BR73" s="137">
        <f t="shared" si="50"/>
        <v>136.97305840898235</v>
      </c>
      <c r="BS73" s="137">
        <f t="shared" si="51"/>
        <v>10.813741277509394</v>
      </c>
    </row>
    <row r="74" spans="1:71" ht="12.75">
      <c r="A74" s="138">
        <v>39899</v>
      </c>
      <c r="B74" s="23">
        <v>12.15</v>
      </c>
      <c r="C74" s="15" t="s">
        <v>90</v>
      </c>
      <c r="D74" s="140">
        <v>971535</v>
      </c>
      <c r="F74" s="9">
        <v>0.04369</v>
      </c>
      <c r="G74" s="9">
        <v>0.002601</v>
      </c>
      <c r="H74" s="9">
        <v>0.07553</v>
      </c>
      <c r="I74" s="9">
        <v>1.676</v>
      </c>
      <c r="J74" s="9">
        <v>0.01</v>
      </c>
      <c r="K74" s="165">
        <v>0.05164</v>
      </c>
      <c r="L74" s="9">
        <v>0.006</v>
      </c>
      <c r="M74" s="9">
        <v>0.1</v>
      </c>
      <c r="N74" s="9">
        <v>0.6132</v>
      </c>
      <c r="O74" s="9">
        <v>0.365</v>
      </c>
      <c r="P74" s="9">
        <v>3.226</v>
      </c>
      <c r="Q74" s="165">
        <v>0.4258</v>
      </c>
      <c r="R74" s="165">
        <v>3.698</v>
      </c>
      <c r="S74" s="9">
        <v>5.66</v>
      </c>
      <c r="T74" s="9">
        <v>18.7</v>
      </c>
      <c r="U74" s="9">
        <v>20.67</v>
      </c>
      <c r="V74" s="9">
        <v>0.05</v>
      </c>
      <c r="W74" s="165"/>
      <c r="X74" s="9">
        <v>0.002451</v>
      </c>
      <c r="Y74" s="9">
        <v>0.002113</v>
      </c>
      <c r="Z74" s="94">
        <v>4.731</v>
      </c>
      <c r="AA74" s="94">
        <v>0.1152</v>
      </c>
      <c r="AB74" s="76">
        <v>0.053559999999999997</v>
      </c>
      <c r="AE74" s="106">
        <f t="shared" si="52"/>
        <v>1.5603571428571428</v>
      </c>
      <c r="AF74" s="79">
        <f t="shared" si="53"/>
        <v>0.09458181818181817</v>
      </c>
      <c r="AG74" s="79">
        <f t="shared" si="54"/>
        <v>8.392222222222221</v>
      </c>
      <c r="AH74" s="79">
        <f t="shared" si="55"/>
        <v>239.42857142857142</v>
      </c>
      <c r="AI74" s="79">
        <f t="shared" si="56"/>
        <v>0.7142857142857143</v>
      </c>
      <c r="AJ74" s="79">
        <f t="shared" si="57"/>
        <v>3.6885714285714286</v>
      </c>
      <c r="AK74" s="79">
        <f t="shared" si="58"/>
        <v>0.5806451612903225</v>
      </c>
      <c r="AL74" s="79">
        <f t="shared" si="59"/>
        <v>2.5641025641025643</v>
      </c>
      <c r="AM74" s="79">
        <f t="shared" si="60"/>
        <v>30.66</v>
      </c>
      <c r="AN74" s="79">
        <f t="shared" si="61"/>
        <v>30.416666666666664</v>
      </c>
      <c r="AO74" s="79">
        <f t="shared" si="62"/>
        <v>140.26086956521738</v>
      </c>
      <c r="AP74" s="79">
        <f t="shared" si="63"/>
        <v>26.6125</v>
      </c>
      <c r="AQ74" s="79">
        <f t="shared" si="64"/>
        <v>105.65714285714286</v>
      </c>
      <c r="AR74" s="69">
        <f t="shared" si="34"/>
        <v>2.187761623949552</v>
      </c>
      <c r="AS74" s="79">
        <f t="shared" si="65"/>
        <v>4.838709677419355</v>
      </c>
      <c r="AT74" s="79"/>
      <c r="AU74" s="79">
        <f t="shared" si="66"/>
        <v>0.0778095238095238</v>
      </c>
      <c r="AV74" s="79">
        <f t="shared" si="67"/>
        <v>0.06501538461538461</v>
      </c>
      <c r="AW74" s="106">
        <f t="shared" si="35"/>
        <v>8.22857142857143</v>
      </c>
      <c r="AX74" s="69">
        <f t="shared" si="36"/>
        <v>3.8257142857142856</v>
      </c>
      <c r="AY74" s="69"/>
      <c r="AZ74" s="69">
        <f t="shared" si="37"/>
        <v>4.402857142857143</v>
      </c>
      <c r="BA74" s="111">
        <f t="shared" si="38"/>
        <v>204.61592451027232</v>
      </c>
      <c r="BB74" s="111">
        <f t="shared" si="39"/>
        <v>135.9582142857143</v>
      </c>
      <c r="BC74" s="25">
        <f t="shared" si="40"/>
        <v>20.159402139951062</v>
      </c>
      <c r="BD74" s="80">
        <f>(('[1]setup'!$B$13*'[1]setup'!$B$14*'[1]setup'!$B$15)/10^(-S74))*10^6</f>
        <v>5.419931572989129</v>
      </c>
      <c r="BE74" s="74">
        <f t="shared" si="41"/>
        <v>41.51777210663302</v>
      </c>
      <c r="BF74" s="75">
        <f t="shared" si="42"/>
        <v>68.65771022455803</v>
      </c>
      <c r="BG74" s="73">
        <f t="shared" si="43"/>
        <v>206.80368613422186</v>
      </c>
      <c r="BH74" s="73">
        <f t="shared" si="44"/>
        <v>182.89591796533642</v>
      </c>
      <c r="BI74" s="76">
        <f t="shared" si="45"/>
        <v>6.134922365170691</v>
      </c>
      <c r="BJ74" s="59"/>
      <c r="BK74" s="81">
        <f>(3*('[1]setup'!$D$19*(10^-S74)^3)+2*('[1]setup'!$D$20*'[1]setup'!$D$19*((10^-S74)^2))+('[1]setup'!$D$21*'[1]setup'!$D$19*10^-S74)+('[1]setup'!$D$19*'[1]setup'!$D$22*(AP74/(10^6*2))*(10^-S74)^3))*10^6</f>
        <v>0.00815998606568809</v>
      </c>
      <c r="BL74" s="82">
        <f t="shared" si="46"/>
        <v>65.43370026158414</v>
      </c>
      <c r="BM74" s="75">
        <f>(BL74/((('[1]setup'!$C$26)/10^-S74)+2*(('[1]setup'!$C$26*'[1]setup'!$C$27)/(10^-S74^2))+3*(('[1]setup'!$C$26*'[1]setup'!$C$27*'[1]setup'!$C$28)/(10^-S74^3))))/(10^-S74^3/(10^-S74^3+'[1]setup'!$C$26*10^-S74^2+'[1]setup'!$C$26*'[1]setup'!$C$27*10^-S74+'[1]setup'!$C$26*'[1]setup'!$C$27*'[1]setup'!$C$28))</f>
        <v>31.594427201087907</v>
      </c>
      <c r="BN74" s="75"/>
      <c r="BO74" s="137">
        <f t="shared" si="47"/>
        <v>204.61592451027232</v>
      </c>
      <c r="BP74" s="137">
        <f t="shared" si="48"/>
        <v>135.9582142857143</v>
      </c>
      <c r="BQ74" s="137">
        <f t="shared" si="49"/>
        <v>1.5049912620967116</v>
      </c>
      <c r="BR74" s="137">
        <f t="shared" si="50"/>
        <v>67.94342451027231</v>
      </c>
      <c r="BS74" s="137">
        <f t="shared" si="51"/>
        <v>1.3275095821478118</v>
      </c>
    </row>
    <row r="75" spans="1:71" ht="12.75">
      <c r="A75" s="138">
        <v>39910</v>
      </c>
      <c r="B75" s="23">
        <v>12.2</v>
      </c>
      <c r="C75" s="15" t="s">
        <v>90</v>
      </c>
      <c r="D75" s="140">
        <v>971853</v>
      </c>
      <c r="F75" s="9">
        <v>0.006</v>
      </c>
      <c r="G75" s="9">
        <v>0.00295</v>
      </c>
      <c r="H75" s="9">
        <v>0.03516</v>
      </c>
      <c r="I75" s="9">
        <v>2.229</v>
      </c>
      <c r="J75" s="145">
        <v>0.01</v>
      </c>
      <c r="K75" s="165">
        <v>0.0255017</v>
      </c>
      <c r="L75" s="145">
        <v>0.005</v>
      </c>
      <c r="M75" s="9">
        <v>0.2583</v>
      </c>
      <c r="N75" s="9">
        <v>0.5553</v>
      </c>
      <c r="O75" s="9">
        <v>0.3006</v>
      </c>
      <c r="P75" s="9">
        <v>3.031</v>
      </c>
      <c r="Q75" s="165">
        <v>0.5173</v>
      </c>
      <c r="R75" s="165">
        <v>2.929</v>
      </c>
      <c r="S75" s="9">
        <v>6.268</v>
      </c>
      <c r="T75" s="9">
        <v>15</v>
      </c>
      <c r="U75" s="9">
        <v>20.1</v>
      </c>
      <c r="V75" s="9">
        <v>0.05</v>
      </c>
      <c r="W75" s="9"/>
      <c r="X75" s="9">
        <v>0.002</v>
      </c>
      <c r="Y75" s="9">
        <v>0.002</v>
      </c>
      <c r="Z75" s="14">
        <v>2.002</v>
      </c>
      <c r="AA75" s="94">
        <v>0.01</v>
      </c>
      <c r="AB75" s="76">
        <v>-0.025501699999999995</v>
      </c>
      <c r="AE75" s="106">
        <f t="shared" si="52"/>
        <v>0.2142857142857143</v>
      </c>
      <c r="AF75" s="79">
        <f t="shared" si="53"/>
        <v>0.10727272727272727</v>
      </c>
      <c r="AG75" s="79">
        <f t="shared" si="54"/>
        <v>3.9066666666666667</v>
      </c>
      <c r="AH75" s="79">
        <f t="shared" si="55"/>
        <v>318.42857142857144</v>
      </c>
      <c r="AI75" s="79">
        <f t="shared" si="56"/>
        <v>0.7142857142857143</v>
      </c>
      <c r="AJ75" s="79">
        <f t="shared" si="57"/>
        <v>1.82155</v>
      </c>
      <c r="AK75" s="79">
        <f t="shared" si="58"/>
        <v>0.4838709677419355</v>
      </c>
      <c r="AL75" s="79">
        <f t="shared" si="59"/>
        <v>6.623076923076923</v>
      </c>
      <c r="AM75" s="79">
        <f t="shared" si="60"/>
        <v>27.765</v>
      </c>
      <c r="AN75" s="79">
        <f t="shared" si="61"/>
        <v>25.05</v>
      </c>
      <c r="AO75" s="79">
        <f t="shared" si="62"/>
        <v>131.78260869565216</v>
      </c>
      <c r="AP75" s="79">
        <f t="shared" si="63"/>
        <v>32.33125</v>
      </c>
      <c r="AQ75" s="79">
        <f t="shared" si="64"/>
        <v>83.68571428571428</v>
      </c>
      <c r="AR75" s="69">
        <f t="shared" si="34"/>
        <v>0.5395106225151278</v>
      </c>
      <c r="AS75" s="79">
        <f t="shared" si="65"/>
        <v>4.838709677419355</v>
      </c>
      <c r="AT75" s="79"/>
      <c r="AU75" s="79">
        <f t="shared" si="66"/>
        <v>0.06349206349206349</v>
      </c>
      <c r="AV75" s="79">
        <f t="shared" si="67"/>
        <v>0.061538461538461535</v>
      </c>
      <c r="AW75" s="106">
        <f t="shared" si="35"/>
        <v>0.7142857142857143</v>
      </c>
      <c r="AX75" s="69">
        <f t="shared" si="36"/>
        <v>-1.8215499999999998</v>
      </c>
      <c r="AY75" s="69"/>
      <c r="AZ75" s="69">
        <f t="shared" si="37"/>
        <v>2.535835714285714</v>
      </c>
      <c r="BA75" s="111">
        <f t="shared" si="38"/>
        <v>191.9349713330148</v>
      </c>
      <c r="BB75" s="111">
        <f t="shared" si="39"/>
        <v>117.83851428571428</v>
      </c>
      <c r="BC75" s="25">
        <f t="shared" si="40"/>
        <v>23.919560739455555</v>
      </c>
      <c r="BD75" s="80">
        <f>(('[1]setup'!$B$13*'[1]setup'!$B$14*'[1]setup'!$B$15)/10^(-S75))*10^6</f>
        <v>21.97828514393277</v>
      </c>
      <c r="BE75" s="74">
        <f t="shared" si="41"/>
        <v>18.829282760968443</v>
      </c>
      <c r="BF75" s="75">
        <f t="shared" si="42"/>
        <v>74.09645704730052</v>
      </c>
      <c r="BG75" s="73">
        <f t="shared" si="43"/>
        <v>192.47448195552994</v>
      </c>
      <c r="BH75" s="73">
        <f t="shared" si="44"/>
        <v>158.6460821906155</v>
      </c>
      <c r="BI75" s="76">
        <f t="shared" si="45"/>
        <v>9.634411429925306</v>
      </c>
      <c r="BJ75" s="59"/>
      <c r="BK75" s="81">
        <f>(3*('[1]setup'!$D$19*(10^-S75)^3)+2*('[1]setup'!$D$20*'[1]setup'!$D$19*((10^-S75)^2))+('[1]setup'!$D$21*'[1]setup'!$D$19*10^-S75)+('[1]setup'!$D$19*'[1]setup'!$D$22*(AP75/(10^6*2))*(10^-S75)^3))*10^6</f>
        <v>0.0007083718798123575</v>
      </c>
      <c r="BL75" s="82">
        <f t="shared" si="46"/>
        <v>52.6583908977627</v>
      </c>
      <c r="BM75" s="75">
        <f>(BL75/((('[1]setup'!$C$26)/10^-S75)+2*(('[1]setup'!$C$26*'[1]setup'!$C$27)/(10^-S75^2))+3*(('[1]setup'!$C$26*'[1]setup'!$C$27*'[1]setup'!$C$28)/(10^-S75^3))))/(10^-S75^3/(10^-S75^3+'[1]setup'!$C$26*10^-S75^2+'[1]setup'!$C$26*'[1]setup'!$C$27*10^-S75+'[1]setup'!$C$26*'[1]setup'!$C$27*'[1]setup'!$C$28))</f>
        <v>22.157060969998852</v>
      </c>
      <c r="BN75" s="75"/>
      <c r="BO75" s="137">
        <f t="shared" si="47"/>
        <v>191.9349713330148</v>
      </c>
      <c r="BP75" s="137">
        <f t="shared" si="48"/>
        <v>117.83851428571428</v>
      </c>
      <c r="BQ75" s="137">
        <f t="shared" si="49"/>
        <v>1.628796599282</v>
      </c>
      <c r="BR75" s="137">
        <f t="shared" si="50"/>
        <v>73.3821713330148</v>
      </c>
      <c r="BS75" s="137">
        <f t="shared" si="51"/>
        <v>1.5747324357623167</v>
      </c>
    </row>
    <row r="76" spans="1:71" ht="12.75">
      <c r="A76" s="138">
        <v>39924</v>
      </c>
      <c r="B76" s="23">
        <v>17.2</v>
      </c>
      <c r="C76" s="15" t="s">
        <v>90</v>
      </c>
      <c r="D76" s="140">
        <v>973767</v>
      </c>
      <c r="F76" s="9">
        <v>0.006</v>
      </c>
      <c r="G76" s="9">
        <v>0.002</v>
      </c>
      <c r="H76" s="9">
        <v>0.02283</v>
      </c>
      <c r="I76" s="9">
        <v>2.66</v>
      </c>
      <c r="J76" s="9">
        <v>0.01</v>
      </c>
      <c r="K76" s="165">
        <v>0.025595</v>
      </c>
      <c r="L76" s="9">
        <v>0.005</v>
      </c>
      <c r="M76" s="9">
        <v>0.2509</v>
      </c>
      <c r="N76" s="9">
        <v>0.6771</v>
      </c>
      <c r="O76" s="9">
        <v>0.3485</v>
      </c>
      <c r="P76" s="9">
        <v>3.398</v>
      </c>
      <c r="Q76" s="165">
        <v>0.5731</v>
      </c>
      <c r="R76" s="165">
        <v>2.705</v>
      </c>
      <c r="S76" s="9">
        <v>6.632</v>
      </c>
      <c r="T76" s="9">
        <v>21.7</v>
      </c>
      <c r="U76" s="9">
        <v>21.03</v>
      </c>
      <c r="V76" s="9">
        <v>0.05</v>
      </c>
      <c r="W76" s="9"/>
      <c r="X76" s="9">
        <v>0.002</v>
      </c>
      <c r="Y76" s="9">
        <v>0.002</v>
      </c>
      <c r="Z76" s="94">
        <v>1.253</v>
      </c>
      <c r="AA76" s="94">
        <v>0.1498</v>
      </c>
      <c r="AB76" s="76">
        <v>0.11420499999999999</v>
      </c>
      <c r="AE76" s="106">
        <f t="shared" si="52"/>
        <v>0.2142857142857143</v>
      </c>
      <c r="AF76" s="79">
        <f t="shared" si="53"/>
        <v>0.07272727272727272</v>
      </c>
      <c r="AG76" s="79">
        <f t="shared" si="54"/>
        <v>2.5366666666666666</v>
      </c>
      <c r="AH76" s="79">
        <f t="shared" si="55"/>
        <v>380</v>
      </c>
      <c r="AI76" s="79">
        <f t="shared" si="56"/>
        <v>0.7142857142857143</v>
      </c>
      <c r="AJ76" s="79">
        <f t="shared" si="57"/>
        <v>1.8282142857142856</v>
      </c>
      <c r="AK76" s="79">
        <f t="shared" si="58"/>
        <v>0.4838709677419355</v>
      </c>
      <c r="AL76" s="79">
        <f t="shared" si="59"/>
        <v>6.433333333333334</v>
      </c>
      <c r="AM76" s="79">
        <f t="shared" si="60"/>
        <v>33.855000000000004</v>
      </c>
      <c r="AN76" s="79">
        <f t="shared" si="61"/>
        <v>29.041666666666664</v>
      </c>
      <c r="AO76" s="79">
        <f t="shared" si="62"/>
        <v>147.73913043478262</v>
      </c>
      <c r="AP76" s="79">
        <f t="shared" si="63"/>
        <v>35.81875</v>
      </c>
      <c r="AQ76" s="79">
        <f t="shared" si="64"/>
        <v>77.28571428571429</v>
      </c>
      <c r="AR76" s="69">
        <f t="shared" si="34"/>
        <v>0.23334580622810042</v>
      </c>
      <c r="AS76" s="79">
        <f t="shared" si="65"/>
        <v>4.838709677419355</v>
      </c>
      <c r="AT76" s="79"/>
      <c r="AU76" s="79">
        <f t="shared" si="66"/>
        <v>0.06349206349206349</v>
      </c>
      <c r="AV76" s="79">
        <f t="shared" si="67"/>
        <v>0.061538461538461535</v>
      </c>
      <c r="AW76" s="106">
        <f t="shared" si="35"/>
        <v>10.7</v>
      </c>
      <c r="AX76" s="69">
        <f t="shared" si="36"/>
        <v>8.1575</v>
      </c>
      <c r="AY76" s="69"/>
      <c r="AZ76" s="69">
        <f t="shared" si="37"/>
        <v>2.5425</v>
      </c>
      <c r="BA76" s="111">
        <f t="shared" si="38"/>
        <v>217.78341614906836</v>
      </c>
      <c r="BB76" s="111">
        <f t="shared" si="39"/>
        <v>114.93267857142858</v>
      </c>
      <c r="BC76" s="25">
        <f t="shared" si="40"/>
        <v>30.912462369468795</v>
      </c>
      <c r="BD76" s="80">
        <f>(('[1]setup'!$B$13*'[1]setup'!$B$14*'[1]setup'!$B$15)/10^(-S76))*10^6</f>
        <v>50.81521922972627</v>
      </c>
      <c r="BE76" s="74">
        <f t="shared" si="41"/>
        <v>12.069595888418792</v>
      </c>
      <c r="BF76" s="75">
        <f t="shared" si="42"/>
        <v>102.85073757763978</v>
      </c>
      <c r="BG76" s="73">
        <f t="shared" si="43"/>
        <v>218.01676195529646</v>
      </c>
      <c r="BH76" s="73">
        <f t="shared" si="44"/>
        <v>177.81749368957364</v>
      </c>
      <c r="BI76" s="76">
        <f t="shared" si="45"/>
        <v>10.155580951484989</v>
      </c>
      <c r="BJ76" s="59"/>
      <c r="BK76" s="81">
        <f>(3*('[1]setup'!$D$19*(10^-S76)^3)+2*('[1]setup'!$D$20*'[1]setup'!$D$19*((10^-S76)^2))+('[1]setup'!$D$21*'[1]setup'!$D$19*10^-S76)+('[1]setup'!$D$19*'[1]setup'!$D$22*(AP76/(10^6*2))*(10^-S76)^3))*10^6</f>
        <v>0.00024365268896576174</v>
      </c>
      <c r="BL76" s="82">
        <f t="shared" si="46"/>
        <v>52.26910780683056</v>
      </c>
      <c r="BM76" s="75">
        <f>(BL76/((('[1]setup'!$C$26)/10^-S76)+2*(('[1]setup'!$C$26*'[1]setup'!$C$27)/(10^-S76^2))+3*(('[1]setup'!$C$26*'[1]setup'!$C$27*'[1]setup'!$C$28)/(10^-S76^3))))/(10^-S76^3/(10^-S76^3+'[1]setup'!$C$26*10^-S76^2+'[1]setup'!$C$26*'[1]setup'!$C$27*10^-S76+'[1]setup'!$C$26*'[1]setup'!$C$27*'[1]setup'!$C$28))</f>
        <v>20.15857777426892</v>
      </c>
      <c r="BN76" s="75"/>
      <c r="BO76" s="137">
        <f t="shared" si="47"/>
        <v>217.78341614906833</v>
      </c>
      <c r="BP76" s="137">
        <f t="shared" si="48"/>
        <v>114.93267857142858</v>
      </c>
      <c r="BQ76" s="137">
        <f t="shared" si="49"/>
        <v>1.8948781047830523</v>
      </c>
      <c r="BR76" s="137">
        <f t="shared" si="50"/>
        <v>102.13645186335405</v>
      </c>
      <c r="BS76" s="137">
        <f t="shared" si="51"/>
        <v>1.911596881780921</v>
      </c>
    </row>
    <row r="77" spans="1:71" ht="12.75">
      <c r="A77" s="138">
        <v>39937</v>
      </c>
      <c r="B77" s="23">
        <v>13.25</v>
      </c>
      <c r="C77" s="15" t="s">
        <v>90</v>
      </c>
      <c r="D77" s="140">
        <v>974353</v>
      </c>
      <c r="F77" s="9">
        <v>0.006</v>
      </c>
      <c r="G77" s="9">
        <v>0.002974</v>
      </c>
      <c r="H77" s="9">
        <v>0.02958</v>
      </c>
      <c r="I77" s="9">
        <v>2.693</v>
      </c>
      <c r="J77" s="145">
        <v>0.01</v>
      </c>
      <c r="K77" s="165">
        <v>0.04893</v>
      </c>
      <c r="L77" s="145">
        <v>0.007</v>
      </c>
      <c r="M77" s="9">
        <v>0.1</v>
      </c>
      <c r="N77" s="9">
        <v>0.7209</v>
      </c>
      <c r="O77" s="9">
        <v>0.3464</v>
      </c>
      <c r="P77" s="9">
        <v>3.363</v>
      </c>
      <c r="Q77" s="165">
        <v>0.6013</v>
      </c>
      <c r="R77" s="165">
        <v>2.881</v>
      </c>
      <c r="S77" s="9">
        <v>6.642</v>
      </c>
      <c r="T77" s="9">
        <v>19.4</v>
      </c>
      <c r="U77" s="9">
        <v>22.55</v>
      </c>
      <c r="V77" s="9">
        <v>0.05</v>
      </c>
      <c r="W77" s="9"/>
      <c r="X77" s="9">
        <v>0.002</v>
      </c>
      <c r="Y77" s="9">
        <v>0.002</v>
      </c>
      <c r="Z77" s="94">
        <v>1.64</v>
      </c>
      <c r="AA77" s="94">
        <v>0.01</v>
      </c>
      <c r="AB77" s="76">
        <v>-0.04893</v>
      </c>
      <c r="AE77" s="106">
        <f t="shared" si="52"/>
        <v>0.2142857142857143</v>
      </c>
      <c r="AF77" s="79">
        <f t="shared" si="53"/>
        <v>0.10814545454545456</v>
      </c>
      <c r="AG77" s="79">
        <f t="shared" si="54"/>
        <v>3.286666666666667</v>
      </c>
      <c r="AH77" s="79">
        <f t="shared" si="55"/>
        <v>384.7142857142857</v>
      </c>
      <c r="AI77" s="79">
        <f t="shared" si="56"/>
        <v>0.7142857142857143</v>
      </c>
      <c r="AJ77" s="79">
        <f t="shared" si="57"/>
        <v>3.495</v>
      </c>
      <c r="AK77" s="79">
        <f t="shared" si="58"/>
        <v>0.6774193548387097</v>
      </c>
      <c r="AL77" s="79">
        <f t="shared" si="59"/>
        <v>2.5641025641025643</v>
      </c>
      <c r="AM77" s="79">
        <f t="shared" si="60"/>
        <v>36.045</v>
      </c>
      <c r="AN77" s="79">
        <f t="shared" si="61"/>
        <v>28.866666666666667</v>
      </c>
      <c r="AO77" s="79">
        <f t="shared" si="62"/>
        <v>146.2173913043478</v>
      </c>
      <c r="AP77" s="79">
        <f t="shared" si="63"/>
        <v>37.58125</v>
      </c>
      <c r="AQ77" s="79">
        <f t="shared" si="64"/>
        <v>82.31428571428572</v>
      </c>
      <c r="AR77" s="69">
        <f t="shared" si="34"/>
        <v>0.2280342072000416</v>
      </c>
      <c r="AS77" s="79">
        <f t="shared" si="65"/>
        <v>4.838709677419355</v>
      </c>
      <c r="AT77" s="79"/>
      <c r="AU77" s="79">
        <f t="shared" si="66"/>
        <v>0.06349206349206349</v>
      </c>
      <c r="AV77" s="79">
        <f t="shared" si="67"/>
        <v>0.061538461538461535</v>
      </c>
      <c r="AW77" s="106">
        <f t="shared" si="35"/>
        <v>0.7142857142857143</v>
      </c>
      <c r="AX77" s="69">
        <f t="shared" si="36"/>
        <v>-3.495</v>
      </c>
      <c r="AY77" s="69"/>
      <c r="AZ77" s="69">
        <f t="shared" si="37"/>
        <v>4.2092857142857145</v>
      </c>
      <c r="BA77" s="111">
        <f t="shared" si="38"/>
        <v>214.40744624940277</v>
      </c>
      <c r="BB77" s="111">
        <f t="shared" si="39"/>
        <v>123.3905357142857</v>
      </c>
      <c r="BC77" s="25">
        <f t="shared" si="40"/>
        <v>26.944184215079446</v>
      </c>
      <c r="BD77" s="80">
        <f>(('[1]setup'!$B$13*'[1]setup'!$B$14*'[1]setup'!$B$15)/10^(-S77))*10^6</f>
        <v>51.9988577389892</v>
      </c>
      <c r="BE77" s="74">
        <f t="shared" si="41"/>
        <v>15.805597638777554</v>
      </c>
      <c r="BF77" s="75">
        <f t="shared" si="42"/>
        <v>91.01691053511705</v>
      </c>
      <c r="BG77" s="73">
        <f t="shared" si="43"/>
        <v>214.6354804566028</v>
      </c>
      <c r="BH77" s="73">
        <f t="shared" si="44"/>
        <v>191.19499109205248</v>
      </c>
      <c r="BI77" s="76">
        <f t="shared" si="45"/>
        <v>5.775931332879235</v>
      </c>
      <c r="BJ77" s="59"/>
      <c r="BK77" s="81">
        <f>(3*('[1]setup'!$D$19*(10^-S77)^3)+2*('[1]setup'!$D$20*'[1]setup'!$D$19*((10^-S77)^2))+('[1]setup'!$D$21*'[1]setup'!$D$19*10^-S77)+('[1]setup'!$D$19*'[1]setup'!$D$22*(AP77/(10^6*2))*(10^-S77)^3))*10^6</f>
        <v>0.00023715743533524893</v>
      </c>
      <c r="BL77" s="82">
        <f t="shared" si="46"/>
        <v>39.24632416076321</v>
      </c>
      <c r="BM77" s="75">
        <f>(BL77/((('[1]setup'!$C$26)/10^-S77)+2*(('[1]setup'!$C$26*'[1]setup'!$C$27)/(10^-S77^2))+3*(('[1]setup'!$C$26*'[1]setup'!$C$27*'[1]setup'!$C$28)/(10^-S77^3))))/(10^-S77^3/(10^-S77^3+'[1]setup'!$C$26*10^-S77^2+'[1]setup'!$C$26*'[1]setup'!$C$27*10^-S77+'[1]setup'!$C$26*'[1]setup'!$C$27*'[1]setup'!$C$28))</f>
        <v>15.10299458217526</v>
      </c>
      <c r="BN77" s="75"/>
      <c r="BO77" s="137">
        <f t="shared" si="47"/>
        <v>214.40744624940277</v>
      </c>
      <c r="BP77" s="137">
        <f t="shared" si="48"/>
        <v>123.3905357142857</v>
      </c>
      <c r="BQ77" s="137">
        <f t="shared" si="49"/>
        <v>1.7376328338979685</v>
      </c>
      <c r="BR77" s="137">
        <f t="shared" si="50"/>
        <v>90.30262482083134</v>
      </c>
      <c r="BS77" s="137">
        <f t="shared" si="51"/>
        <v>1.7763306822812126</v>
      </c>
    </row>
    <row r="78" spans="1:71" ht="12.75">
      <c r="A78" s="138">
        <v>39951</v>
      </c>
      <c r="B78" s="23"/>
      <c r="C78" s="15" t="s">
        <v>90</v>
      </c>
      <c r="D78" s="140">
        <v>975892</v>
      </c>
      <c r="F78" s="9">
        <v>0.006</v>
      </c>
      <c r="G78" s="9">
        <v>0.002114</v>
      </c>
      <c r="H78" s="9">
        <v>0.04418</v>
      </c>
      <c r="I78" s="9">
        <v>2.461</v>
      </c>
      <c r="J78" s="145">
        <v>0.01</v>
      </c>
      <c r="K78" s="165">
        <v>0.025318</v>
      </c>
      <c r="L78" s="145">
        <v>0.005</v>
      </c>
      <c r="M78" s="9">
        <v>0.1</v>
      </c>
      <c r="N78" s="9">
        <v>0.7647</v>
      </c>
      <c r="O78" s="9">
        <v>0.3529</v>
      </c>
      <c r="P78" s="9">
        <v>3.343</v>
      </c>
      <c r="Q78" s="165">
        <v>0.5491</v>
      </c>
      <c r="R78" s="165">
        <v>2.961</v>
      </c>
      <c r="S78" s="9">
        <v>6.5</v>
      </c>
      <c r="T78" s="9">
        <v>19.8</v>
      </c>
      <c r="U78" s="9">
        <v>22.17</v>
      </c>
      <c r="V78" s="9">
        <v>0.05</v>
      </c>
      <c r="W78" s="9"/>
      <c r="X78" s="9">
        <v>0.002</v>
      </c>
      <c r="Y78" s="9">
        <v>0.002</v>
      </c>
      <c r="Z78" s="14">
        <v>2.998</v>
      </c>
      <c r="AA78" s="94">
        <v>0.1811</v>
      </c>
      <c r="AB78" s="76">
        <v>0.14578200000000002</v>
      </c>
      <c r="AE78" s="106">
        <f t="shared" si="52"/>
        <v>0.2142857142857143</v>
      </c>
      <c r="AF78" s="79">
        <f t="shared" si="53"/>
        <v>0.07687272727272727</v>
      </c>
      <c r="AG78" s="79">
        <f t="shared" si="54"/>
        <v>4.908888888888889</v>
      </c>
      <c r="AH78" s="79">
        <f t="shared" si="55"/>
        <v>351.57142857142856</v>
      </c>
      <c r="AI78" s="79">
        <f t="shared" si="56"/>
        <v>0.7142857142857143</v>
      </c>
      <c r="AJ78" s="79">
        <f t="shared" si="57"/>
        <v>1.8084285714285715</v>
      </c>
      <c r="AK78" s="79">
        <f t="shared" si="58"/>
        <v>0.4838709677419355</v>
      </c>
      <c r="AL78" s="79">
        <f t="shared" si="59"/>
        <v>2.5641025641025643</v>
      </c>
      <c r="AM78" s="79">
        <f t="shared" si="60"/>
        <v>38.23500000000001</v>
      </c>
      <c r="AN78" s="79">
        <f t="shared" si="61"/>
        <v>29.40833333333333</v>
      </c>
      <c r="AO78" s="79">
        <f t="shared" si="62"/>
        <v>145.3478260869565</v>
      </c>
      <c r="AP78" s="79">
        <f t="shared" si="63"/>
        <v>34.31875</v>
      </c>
      <c r="AQ78" s="79">
        <f t="shared" si="64"/>
        <v>84.6</v>
      </c>
      <c r="AR78" s="69">
        <f t="shared" si="34"/>
        <v>0.31622776601683794</v>
      </c>
      <c r="AS78" s="79">
        <f t="shared" si="65"/>
        <v>4.838709677419355</v>
      </c>
      <c r="AT78" s="79"/>
      <c r="AU78" s="79">
        <f t="shared" si="66"/>
        <v>0.06349206349206349</v>
      </c>
      <c r="AV78" s="79">
        <f t="shared" si="67"/>
        <v>0.061538461538461535</v>
      </c>
      <c r="AW78" s="106">
        <f t="shared" si="35"/>
        <v>12.935714285714287</v>
      </c>
      <c r="AX78" s="69">
        <f t="shared" si="36"/>
        <v>10.413000000000002</v>
      </c>
      <c r="AY78" s="69"/>
      <c r="AZ78" s="69">
        <f t="shared" si="37"/>
        <v>2.5227142857142857</v>
      </c>
      <c r="BA78" s="111">
        <f t="shared" si="38"/>
        <v>216.26954769867814</v>
      </c>
      <c r="BB78" s="111">
        <f t="shared" si="39"/>
        <v>120.72717857142857</v>
      </c>
      <c r="BC78" s="25">
        <f t="shared" si="40"/>
        <v>28.351126785330038</v>
      </c>
      <c r="BD78" s="80">
        <f>(('[1]setup'!$B$13*'[1]setup'!$B$14*'[1]setup'!$B$15)/10^(-S78))*10^6</f>
        <v>37.49676522455271</v>
      </c>
      <c r="BE78" s="74">
        <f t="shared" si="41"/>
        <v>28.663040970068288</v>
      </c>
      <c r="BF78" s="75">
        <f t="shared" si="42"/>
        <v>95.54236912724957</v>
      </c>
      <c r="BG78" s="73">
        <f t="shared" si="43"/>
        <v>216.585775464695</v>
      </c>
      <c r="BH78" s="73">
        <f t="shared" si="44"/>
        <v>186.88698476604958</v>
      </c>
      <c r="BI78" s="76">
        <f t="shared" si="45"/>
        <v>7.360792010261308</v>
      </c>
      <c r="BJ78" s="59"/>
      <c r="BK78" s="81">
        <f>(3*('[1]setup'!$D$19*(10^-S78)^3)+2*('[1]setup'!$D$20*'[1]setup'!$D$19*((10^-S78)^2))+('[1]setup'!$D$21*'[1]setup'!$D$19*10^-S78)+('[1]setup'!$D$19*'[1]setup'!$D$22*(AP78/(10^6*2))*(10^-S78)^3))*10^6</f>
        <v>0.00035144543880509646</v>
      </c>
      <c r="BL78" s="82">
        <f t="shared" si="46"/>
        <v>58.362183114152515</v>
      </c>
      <c r="BM78" s="75">
        <f>(BL78/((('[1]setup'!$C$26)/10^-S78)+2*(('[1]setup'!$C$26*'[1]setup'!$C$27)/(10^-S78^2))+3*(('[1]setup'!$C$26*'[1]setup'!$C$27*'[1]setup'!$C$28)/(10^-S78^3))))/(10^-S78^3/(10^-S78^3+'[1]setup'!$C$26*10^-S78^2+'[1]setup'!$C$26*'[1]setup'!$C$27*10^-S78+'[1]setup'!$C$26*'[1]setup'!$C$27*'[1]setup'!$C$28))</f>
        <v>23.200034183116276</v>
      </c>
      <c r="BN78" s="75"/>
      <c r="BO78" s="137">
        <f t="shared" si="47"/>
        <v>216.2695476986781</v>
      </c>
      <c r="BP78" s="137">
        <f t="shared" si="48"/>
        <v>120.72717857142857</v>
      </c>
      <c r="BQ78" s="137">
        <f t="shared" si="49"/>
        <v>1.791390722932547</v>
      </c>
      <c r="BR78" s="137">
        <f t="shared" si="50"/>
        <v>94.82808341296385</v>
      </c>
      <c r="BS78" s="137">
        <f t="shared" si="51"/>
        <v>1.7180594100113062</v>
      </c>
    </row>
    <row r="79" spans="1:71" ht="12.75">
      <c r="A79" s="138">
        <v>39966</v>
      </c>
      <c r="B79" s="23">
        <v>12</v>
      </c>
      <c r="C79" s="15" t="s">
        <v>90</v>
      </c>
      <c r="D79" s="140">
        <v>977348</v>
      </c>
      <c r="F79" s="9">
        <v>0.006</v>
      </c>
      <c r="G79" s="9">
        <v>0.002</v>
      </c>
      <c r="H79" s="9">
        <v>0.02358</v>
      </c>
      <c r="I79" s="9">
        <v>2.806</v>
      </c>
      <c r="J79" s="9">
        <v>0.01</v>
      </c>
      <c r="K79" s="165">
        <v>0.0255674</v>
      </c>
      <c r="L79" s="9">
        <v>0.007</v>
      </c>
      <c r="M79" s="9">
        <v>0.1</v>
      </c>
      <c r="N79" s="9">
        <v>0.6786</v>
      </c>
      <c r="O79" s="9">
        <v>0.3118</v>
      </c>
      <c r="P79" s="9">
        <v>3.023</v>
      </c>
      <c r="Q79" s="165">
        <v>0.6162</v>
      </c>
      <c r="R79" s="165">
        <v>2.897</v>
      </c>
      <c r="S79" s="9">
        <v>6.787</v>
      </c>
      <c r="T79" s="9">
        <v>21.4</v>
      </c>
      <c r="U79" s="9">
        <v>22.55</v>
      </c>
      <c r="V79" s="9">
        <v>0.05</v>
      </c>
      <c r="W79" s="9"/>
      <c r="X79" s="9">
        <v>0.002</v>
      </c>
      <c r="Y79" s="9">
        <v>0.002</v>
      </c>
      <c r="Z79" s="94">
        <v>1.326</v>
      </c>
      <c r="AA79" s="153">
        <v>0.2303</v>
      </c>
      <c r="AB79" s="76">
        <v>0.1947326</v>
      </c>
      <c r="AE79" s="106">
        <f t="shared" si="52"/>
        <v>0.2142857142857143</v>
      </c>
      <c r="AF79" s="79">
        <f t="shared" si="53"/>
        <v>0.07272727272727272</v>
      </c>
      <c r="AG79" s="79">
        <f t="shared" si="54"/>
        <v>2.62</v>
      </c>
      <c r="AH79" s="79">
        <f t="shared" si="55"/>
        <v>400.85714285714283</v>
      </c>
      <c r="AI79" s="79">
        <f t="shared" si="56"/>
        <v>0.7142857142857143</v>
      </c>
      <c r="AJ79" s="79">
        <f t="shared" si="57"/>
        <v>1.8262428571428573</v>
      </c>
      <c r="AK79" s="79">
        <f t="shared" si="58"/>
        <v>0.6774193548387097</v>
      </c>
      <c r="AL79" s="79">
        <f t="shared" si="59"/>
        <v>2.5641025641025643</v>
      </c>
      <c r="AM79" s="79">
        <f t="shared" si="60"/>
        <v>33.93</v>
      </c>
      <c r="AN79" s="79">
        <f t="shared" si="61"/>
        <v>25.983333333333334</v>
      </c>
      <c r="AO79" s="79">
        <f t="shared" si="62"/>
        <v>131.43478260869566</v>
      </c>
      <c r="AP79" s="79">
        <f t="shared" si="63"/>
        <v>38.512499999999996</v>
      </c>
      <c r="AQ79" s="79">
        <f t="shared" si="64"/>
        <v>82.77142857142857</v>
      </c>
      <c r="AR79" s="69">
        <f t="shared" si="34"/>
        <v>0.16330519478943345</v>
      </c>
      <c r="AS79" s="79">
        <f t="shared" si="65"/>
        <v>4.838709677419355</v>
      </c>
      <c r="AT79" s="79"/>
      <c r="AU79" s="79">
        <f t="shared" si="66"/>
        <v>0.06349206349206349</v>
      </c>
      <c r="AV79" s="79">
        <f t="shared" si="67"/>
        <v>0.061538461538461535</v>
      </c>
      <c r="AW79" s="106">
        <f t="shared" si="35"/>
        <v>16.45</v>
      </c>
      <c r="AX79" s="69">
        <f t="shared" si="36"/>
        <v>13.909471428571429</v>
      </c>
      <c r="AY79" s="69"/>
      <c r="AZ79" s="69">
        <f t="shared" si="37"/>
        <v>2.5405285714285717</v>
      </c>
      <c r="BA79" s="111">
        <f t="shared" si="38"/>
        <v>194.62650422041727</v>
      </c>
      <c r="BB79" s="111">
        <f t="shared" si="39"/>
        <v>123.11017142857142</v>
      </c>
      <c r="BC79" s="25">
        <f t="shared" si="40"/>
        <v>22.508050934243315</v>
      </c>
      <c r="BD79" s="80">
        <f>(('[1]setup'!$B$13*'[1]setup'!$B$14*'[1]setup'!$B$15)/10^(-S79))*10^6</f>
        <v>72.6095597577731</v>
      </c>
      <c r="BE79" s="74">
        <f t="shared" si="41"/>
        <v>12.867076071467862</v>
      </c>
      <c r="BF79" s="75">
        <f t="shared" si="42"/>
        <v>71.51633279184585</v>
      </c>
      <c r="BG79" s="73">
        <f t="shared" si="43"/>
        <v>194.78980941520672</v>
      </c>
      <c r="BH79" s="73">
        <f t="shared" si="44"/>
        <v>208.58680725781238</v>
      </c>
      <c r="BI79" s="76">
        <f t="shared" si="45"/>
        <v>3.4203762122854133</v>
      </c>
      <c r="BJ79" s="59"/>
      <c r="BK79" s="81">
        <f>(3*('[1]setup'!$D$19*(10^-S79)^3)+2*('[1]setup'!$D$20*'[1]setup'!$D$19*((10^-S79)^2))+('[1]setup'!$D$21*'[1]setup'!$D$19*10^-S79)+('[1]setup'!$D$19*'[1]setup'!$D$22*(AP79/(10^6*2))*(10^-S79)^3))*10^6</f>
        <v>0.00016177178762588195</v>
      </c>
      <c r="BL79" s="82">
        <f t="shared" si="46"/>
        <v>-0.9297599993501819</v>
      </c>
      <c r="BM79" s="75">
        <f>(BL79/((('[1]setup'!$C$26)/10^-S79)+2*(('[1]setup'!$C$26*'[1]setup'!$C$27)/(10^-S79^2))+3*(('[1]setup'!$C$26*'[1]setup'!$C$27*'[1]setup'!$C$28)/(10^-S79^3))))/(10^-S79^3/(10^-S79^3+'[1]setup'!$C$26*10^-S79^2+'[1]setup'!$C$26*'[1]setup'!$C$27*10^-S79+'[1]setup'!$C$26*'[1]setup'!$C$27*'[1]setup'!$C$28))</f>
        <v>-0.34731650456010227</v>
      </c>
      <c r="BN79" s="75"/>
      <c r="BO79" s="137">
        <f t="shared" si="47"/>
        <v>194.62650422041727</v>
      </c>
      <c r="BP79" s="137">
        <f t="shared" si="48"/>
        <v>123.11017142857142</v>
      </c>
      <c r="BQ79" s="137">
        <f t="shared" si="49"/>
        <v>1.5809132743620593</v>
      </c>
      <c r="BR79" s="137">
        <f t="shared" si="50"/>
        <v>70.80204707756013</v>
      </c>
      <c r="BS79" s="137">
        <f t="shared" si="51"/>
        <v>1.5879245396287014</v>
      </c>
    </row>
    <row r="80" spans="1:71" ht="12.75">
      <c r="A80" s="110">
        <v>40050</v>
      </c>
      <c r="B80" s="23">
        <v>10.4</v>
      </c>
      <c r="C80" s="15" t="s">
        <v>90</v>
      </c>
      <c r="D80" s="140">
        <v>990723</v>
      </c>
      <c r="F80" s="9">
        <v>0.03505</v>
      </c>
      <c r="G80" s="9">
        <v>0.00228</v>
      </c>
      <c r="H80" s="9">
        <v>0.06269</v>
      </c>
      <c r="I80" s="9">
        <v>2.441</v>
      </c>
      <c r="J80" s="9">
        <v>0.01692</v>
      </c>
      <c r="K80" s="165">
        <v>0.025655</v>
      </c>
      <c r="L80" s="9">
        <v>0.005</v>
      </c>
      <c r="M80" s="9">
        <v>0.1</v>
      </c>
      <c r="N80" s="9">
        <v>0.6806</v>
      </c>
      <c r="O80" s="9">
        <v>0.3365</v>
      </c>
      <c r="P80" s="9">
        <v>3.161</v>
      </c>
      <c r="Q80" s="165">
        <v>0.5466</v>
      </c>
      <c r="R80" s="165">
        <v>2.801</v>
      </c>
      <c r="S80" s="9">
        <v>6.543</v>
      </c>
      <c r="T80" s="9">
        <v>19</v>
      </c>
      <c r="U80" s="9">
        <v>22.28</v>
      </c>
      <c r="V80" s="9">
        <v>0.05</v>
      </c>
      <c r="W80" s="9"/>
      <c r="X80" s="9">
        <v>0.002141</v>
      </c>
      <c r="Y80" s="9">
        <v>0.002907</v>
      </c>
      <c r="Z80" s="94">
        <v>3.067</v>
      </c>
      <c r="AA80" s="94">
        <v>0.1268</v>
      </c>
      <c r="AB80" s="76">
        <v>0.084225</v>
      </c>
      <c r="AE80" s="106">
        <f t="shared" si="52"/>
        <v>1.2517857142857143</v>
      </c>
      <c r="AF80" s="79">
        <f t="shared" si="53"/>
        <v>0.08290909090909092</v>
      </c>
      <c r="AG80" s="79">
        <f t="shared" si="54"/>
        <v>6.9655555555555555</v>
      </c>
      <c r="AH80" s="79">
        <f t="shared" si="55"/>
        <v>348.7142857142857</v>
      </c>
      <c r="AI80" s="79">
        <f t="shared" si="56"/>
        <v>1.2085714285714286</v>
      </c>
      <c r="AJ80" s="79">
        <f t="shared" si="57"/>
        <v>1.8325000000000002</v>
      </c>
      <c r="AK80" s="79">
        <f t="shared" si="58"/>
        <v>0.4838709677419355</v>
      </c>
      <c r="AL80" s="79">
        <f t="shared" si="59"/>
        <v>2.5641025641025643</v>
      </c>
      <c r="AM80" s="79">
        <f t="shared" si="60"/>
        <v>34.03</v>
      </c>
      <c r="AN80" s="79">
        <f t="shared" si="61"/>
        <v>28.041666666666668</v>
      </c>
      <c r="AO80" s="79">
        <f t="shared" si="62"/>
        <v>137.43478260869566</v>
      </c>
      <c r="AP80" s="79">
        <f t="shared" si="63"/>
        <v>34.1625</v>
      </c>
      <c r="AQ80" s="79">
        <f t="shared" si="64"/>
        <v>80.02857142857144</v>
      </c>
      <c r="AR80" s="69">
        <f t="shared" si="34"/>
        <v>0.28641779699065795</v>
      </c>
      <c r="AS80" s="79">
        <f t="shared" si="65"/>
        <v>4.838709677419355</v>
      </c>
      <c r="AT80" s="79"/>
      <c r="AU80" s="79">
        <f t="shared" si="66"/>
        <v>0.06796825396825397</v>
      </c>
      <c r="AV80" s="79">
        <f t="shared" si="67"/>
        <v>0.08944615384615384</v>
      </c>
      <c r="AW80" s="106">
        <f t="shared" si="35"/>
        <v>9.057142857142857</v>
      </c>
      <c r="AX80" s="69">
        <f t="shared" si="36"/>
        <v>6.016071428571428</v>
      </c>
      <c r="AY80" s="69"/>
      <c r="AZ80" s="69">
        <f t="shared" si="37"/>
        <v>3.0410714285714286</v>
      </c>
      <c r="BA80" s="111">
        <f t="shared" si="38"/>
        <v>203.2791232680363</v>
      </c>
      <c r="BB80" s="111">
        <f t="shared" si="39"/>
        <v>116.02357142857144</v>
      </c>
      <c r="BC80" s="25">
        <f t="shared" si="40"/>
        <v>27.326907441972132</v>
      </c>
      <c r="BD80" s="80">
        <f>(('[1]setup'!$B$13*'[1]setup'!$B$14*'[1]setup'!$B$15)/10^(-S80))*10^6</f>
        <v>41.399376799916205</v>
      </c>
      <c r="BE80" s="74">
        <f t="shared" si="41"/>
        <v>29.398259483102052</v>
      </c>
      <c r="BF80" s="75">
        <f t="shared" si="42"/>
        <v>87.2555518394649</v>
      </c>
      <c r="BG80" s="73">
        <f t="shared" si="43"/>
        <v>203.565541065027</v>
      </c>
      <c r="BH80" s="73">
        <f t="shared" si="44"/>
        <v>186.8212077115897</v>
      </c>
      <c r="BI80" s="76">
        <f t="shared" si="45"/>
        <v>4.289165399673588</v>
      </c>
      <c r="BJ80" s="59"/>
      <c r="BK80" s="81">
        <f>(3*('[1]setup'!$D$19*(10^-S80)^3)+2*('[1]setup'!$D$20*'[1]setup'!$D$19*((10^-S80)^2))+('[1]setup'!$D$21*'[1]setup'!$D$19*10^-S80)+('[1]setup'!$D$19*'[1]setup'!$D$22*(AP80/(10^6*2))*(10^-S80)^3))*10^6</f>
        <v>0.00031125607779930746</v>
      </c>
      <c r="BL80" s="82">
        <f t="shared" si="46"/>
        <v>46.14290409261716</v>
      </c>
      <c r="BM80" s="75">
        <f>(BL80/((('[1]setup'!$C$26)/10^-S80)+2*(('[1]setup'!$C$26*'[1]setup'!$C$27)/(10^-S80^2))+3*(('[1]setup'!$C$26*'[1]setup'!$C$27*'[1]setup'!$C$28)/(10^-S80^3))))/(10^-S80^3/(10^-S80^3+'[1]setup'!$C$26*10^-S80^2+'[1]setup'!$C$26*'[1]setup'!$C$27*10^-S80+'[1]setup'!$C$26*'[1]setup'!$C$27*'[1]setup'!$C$28))</f>
        <v>18.15814211556714</v>
      </c>
      <c r="BN80" s="75"/>
      <c r="BO80" s="137">
        <f t="shared" si="47"/>
        <v>203.2791232680363</v>
      </c>
      <c r="BP80" s="137">
        <f t="shared" si="48"/>
        <v>116.02357142857144</v>
      </c>
      <c r="BQ80" s="137">
        <f t="shared" si="49"/>
        <v>1.7520502150132717</v>
      </c>
      <c r="BR80" s="137">
        <f t="shared" si="50"/>
        <v>86.04698041089344</v>
      </c>
      <c r="BS80" s="137">
        <f t="shared" si="51"/>
        <v>1.7173214535181534</v>
      </c>
    </row>
    <row r="81" spans="1:71" ht="12.75">
      <c r="A81" s="110">
        <v>40063</v>
      </c>
      <c r="B81" s="16">
        <v>15.3</v>
      </c>
      <c r="C81" s="15" t="s">
        <v>90</v>
      </c>
      <c r="D81" s="140">
        <v>992647</v>
      </c>
      <c r="F81" s="9">
        <v>0.006</v>
      </c>
      <c r="G81" s="9">
        <v>0.002021</v>
      </c>
      <c r="H81" s="9">
        <v>0.0529</v>
      </c>
      <c r="I81" s="9">
        <v>1.859</v>
      </c>
      <c r="J81" s="9">
        <v>0.015</v>
      </c>
      <c r="K81" s="165">
        <v>0.0255</v>
      </c>
      <c r="L81" s="9">
        <v>0.005226</v>
      </c>
      <c r="M81" s="9">
        <v>0.202</v>
      </c>
      <c r="N81" s="9">
        <v>0.373</v>
      </c>
      <c r="O81" s="9">
        <v>0.2217</v>
      </c>
      <c r="P81" s="9">
        <v>2.744</v>
      </c>
      <c r="Q81" s="165">
        <v>0.5388</v>
      </c>
      <c r="R81" s="165">
        <v>2.699</v>
      </c>
      <c r="S81" s="9">
        <v>5.976</v>
      </c>
      <c r="T81" s="9">
        <v>14.2</v>
      </c>
      <c r="U81" s="9">
        <v>19.28</v>
      </c>
      <c r="V81" s="9">
        <v>0.05</v>
      </c>
      <c r="W81" s="9"/>
      <c r="X81" s="9">
        <v>0.002322</v>
      </c>
      <c r="Y81" s="9">
        <v>0.002327</v>
      </c>
      <c r="Z81" s="94">
        <v>2.619</v>
      </c>
      <c r="AA81" s="94">
        <v>0.01</v>
      </c>
      <c r="AB81" s="76">
        <v>-0.030499999999999992</v>
      </c>
      <c r="AE81" s="106">
        <f t="shared" si="52"/>
        <v>0.2142857142857143</v>
      </c>
      <c r="AF81" s="79">
        <f t="shared" si="53"/>
        <v>0.07349090909090908</v>
      </c>
      <c r="AG81" s="79">
        <f t="shared" si="54"/>
        <v>5.877777777777778</v>
      </c>
      <c r="AH81" s="79">
        <f t="shared" si="55"/>
        <v>265.57142857142856</v>
      </c>
      <c r="AI81" s="79">
        <f t="shared" si="56"/>
        <v>1.0714285714285714</v>
      </c>
      <c r="AJ81" s="79">
        <f t="shared" si="57"/>
        <v>1.8214285714285712</v>
      </c>
      <c r="AK81" s="79">
        <f t="shared" si="58"/>
        <v>0.505741935483871</v>
      </c>
      <c r="AL81" s="79">
        <f t="shared" si="59"/>
        <v>5.17948717948718</v>
      </c>
      <c r="AM81" s="79">
        <f t="shared" si="60"/>
        <v>18.65</v>
      </c>
      <c r="AN81" s="79">
        <f t="shared" si="61"/>
        <v>18.475</v>
      </c>
      <c r="AO81" s="79">
        <f t="shared" si="62"/>
        <v>119.30434782608697</v>
      </c>
      <c r="AP81" s="79">
        <f t="shared" si="63"/>
        <v>33.675</v>
      </c>
      <c r="AQ81" s="79">
        <f t="shared" si="64"/>
        <v>77.1142857142857</v>
      </c>
      <c r="AR81" s="69">
        <f t="shared" si="34"/>
        <v>1.0568175092136585</v>
      </c>
      <c r="AS81" s="79">
        <f t="shared" si="65"/>
        <v>4.838709677419355</v>
      </c>
      <c r="AT81" s="79"/>
      <c r="AU81" s="79">
        <f t="shared" si="66"/>
        <v>0.0737142857142857</v>
      </c>
      <c r="AV81" s="79">
        <f t="shared" si="67"/>
        <v>0.07160000000000001</v>
      </c>
      <c r="AW81" s="106">
        <f t="shared" si="35"/>
        <v>0.7142857142857143</v>
      </c>
      <c r="AX81" s="69">
        <f t="shared" si="36"/>
        <v>-2.178571428571428</v>
      </c>
      <c r="AY81" s="69"/>
      <c r="AZ81" s="69">
        <f t="shared" si="37"/>
        <v>2.8928571428571423</v>
      </c>
      <c r="BA81" s="111">
        <f t="shared" si="38"/>
        <v>162.68026357700273</v>
      </c>
      <c r="BB81" s="111">
        <f t="shared" si="39"/>
        <v>112.61071428571427</v>
      </c>
      <c r="BC81" s="25">
        <f t="shared" si="40"/>
        <v>18.18786423006471</v>
      </c>
      <c r="BD81" s="80">
        <f>(('[1]setup'!$B$13*'[1]setup'!$B$14*'[1]setup'!$B$15)/10^(-S81))*10^6</f>
        <v>11.220024456862864</v>
      </c>
      <c r="BE81" s="74">
        <f t="shared" si="41"/>
        <v>23.95627913574735</v>
      </c>
      <c r="BF81" s="75">
        <f t="shared" si="42"/>
        <v>50.06954929128847</v>
      </c>
      <c r="BG81" s="73">
        <f t="shared" si="43"/>
        <v>163.7370810862164</v>
      </c>
      <c r="BH81" s="73">
        <f t="shared" si="44"/>
        <v>147.7870178783245</v>
      </c>
      <c r="BI81" s="76">
        <f t="shared" si="45"/>
        <v>5.120009418503257</v>
      </c>
      <c r="BJ81" s="59"/>
      <c r="BK81" s="81">
        <f>(3*('[1]setup'!$D$19*(10^-S81)^3)+2*('[1]setup'!$D$20*'[1]setup'!$D$19*((10^-S81)^2))+('[1]setup'!$D$21*'[1]setup'!$D$19*10^-S81)+('[1]setup'!$D$19*'[1]setup'!$D$22*(AP81/(10^6*2))*(10^-S81)^3))*10^6</f>
        <v>0.0020033464552386827</v>
      </c>
      <c r="BL81" s="82">
        <f t="shared" si="46"/>
        <v>39.90834569009451</v>
      </c>
      <c r="BM81" s="75">
        <f>(BL81/((('[1]setup'!$C$26)/10^-S81)+2*(('[1]setup'!$C$26*'[1]setup'!$C$27)/(10^-S81^2))+3*(('[1]setup'!$C$26*'[1]setup'!$C$27*'[1]setup'!$C$28)/(10^-S81^3))))/(10^-S81^3/(10^-S81^3+'[1]setup'!$C$26*10^-S81^2+'[1]setup'!$C$26*'[1]setup'!$C$27*10^-S81+'[1]setup'!$C$26*'[1]setup'!$C$27*'[1]setup'!$C$28))</f>
        <v>18.011841078353854</v>
      </c>
      <c r="BN81" s="75"/>
      <c r="BO81" s="137">
        <f t="shared" si="47"/>
        <v>162.68026357700273</v>
      </c>
      <c r="BP81" s="137">
        <f t="shared" si="48"/>
        <v>112.61071428571427</v>
      </c>
      <c r="BQ81" s="137">
        <f t="shared" si="49"/>
        <v>1.4446250928153492</v>
      </c>
      <c r="BR81" s="137">
        <f t="shared" si="50"/>
        <v>48.998120719859884</v>
      </c>
      <c r="BS81" s="137">
        <f t="shared" si="51"/>
        <v>1.5471108462071304</v>
      </c>
    </row>
    <row r="82" spans="1:71" s="49" customFormat="1" ht="12.75">
      <c r="A82" s="110">
        <v>40078</v>
      </c>
      <c r="B82" s="139">
        <v>11</v>
      </c>
      <c r="C82" s="15" t="s">
        <v>90</v>
      </c>
      <c r="D82" s="140">
        <v>994166</v>
      </c>
      <c r="F82" s="145">
        <v>0.006</v>
      </c>
      <c r="G82" s="145">
        <v>0.002</v>
      </c>
      <c r="H82" s="145">
        <v>0.03533</v>
      </c>
      <c r="I82" s="145">
        <v>1.997</v>
      </c>
      <c r="J82" s="145">
        <v>0.015</v>
      </c>
      <c r="K82" s="165">
        <v>0.025065</v>
      </c>
      <c r="L82" s="145">
        <v>0.005</v>
      </c>
      <c r="M82" s="145">
        <v>0.2292</v>
      </c>
      <c r="N82" s="145">
        <v>0.7172</v>
      </c>
      <c r="O82" s="145">
        <v>0.3611</v>
      </c>
      <c r="P82" s="145">
        <v>3.297</v>
      </c>
      <c r="Q82" s="165">
        <v>0.5918</v>
      </c>
      <c r="R82" s="165">
        <v>3.005</v>
      </c>
      <c r="S82" s="145">
        <v>6.643</v>
      </c>
      <c r="T82" s="145">
        <v>17.9</v>
      </c>
      <c r="U82" s="145">
        <v>22.57</v>
      </c>
      <c r="V82" s="145">
        <v>0.05</v>
      </c>
      <c r="W82" s="145"/>
      <c r="X82" s="145">
        <v>0.002048</v>
      </c>
      <c r="Y82" s="145">
        <v>0.002</v>
      </c>
      <c r="Z82" s="153">
        <v>2.022</v>
      </c>
      <c r="AA82" s="153">
        <v>0.1106</v>
      </c>
      <c r="AB82" s="76">
        <v>0.070535</v>
      </c>
      <c r="AE82" s="106">
        <f t="shared" si="52"/>
        <v>0.2142857142857143</v>
      </c>
      <c r="AF82" s="79">
        <f t="shared" si="53"/>
        <v>0.07272727272727272</v>
      </c>
      <c r="AG82" s="79">
        <f t="shared" si="54"/>
        <v>3.9255555555555555</v>
      </c>
      <c r="AH82" s="79">
        <f t="shared" si="55"/>
        <v>285.28571428571433</v>
      </c>
      <c r="AI82" s="79">
        <f t="shared" si="56"/>
        <v>1.0714285714285714</v>
      </c>
      <c r="AJ82" s="79">
        <f t="shared" si="57"/>
        <v>1.7903571428571428</v>
      </c>
      <c r="AK82" s="79">
        <f t="shared" si="58"/>
        <v>0.4838709677419355</v>
      </c>
      <c r="AL82" s="79">
        <f t="shared" si="59"/>
        <v>5.8769230769230765</v>
      </c>
      <c r="AM82" s="79">
        <f t="shared" si="60"/>
        <v>35.86</v>
      </c>
      <c r="AN82" s="79">
        <f t="shared" si="61"/>
        <v>30.091666666666665</v>
      </c>
      <c r="AO82" s="79">
        <f t="shared" si="62"/>
        <v>143.34782608695653</v>
      </c>
      <c r="AP82" s="79">
        <f t="shared" si="63"/>
        <v>36.9875</v>
      </c>
      <c r="AQ82" s="79">
        <f t="shared" si="64"/>
        <v>85.85714285714286</v>
      </c>
      <c r="AR82" s="69">
        <f t="shared" si="34"/>
        <v>0.2275097430772071</v>
      </c>
      <c r="AS82" s="79">
        <f t="shared" si="65"/>
        <v>4.838709677419355</v>
      </c>
      <c r="AT82" s="79"/>
      <c r="AU82" s="79">
        <f t="shared" si="66"/>
        <v>0.06501587301587301</v>
      </c>
      <c r="AV82" s="79">
        <f t="shared" si="67"/>
        <v>0.061538461538461535</v>
      </c>
      <c r="AW82" s="106">
        <f t="shared" si="35"/>
        <v>7.9</v>
      </c>
      <c r="AX82" s="69">
        <f t="shared" si="36"/>
        <v>5.038214285714286</v>
      </c>
      <c r="AY82" s="69"/>
      <c r="AZ82" s="69">
        <f t="shared" si="37"/>
        <v>2.8617857142857144</v>
      </c>
      <c r="BA82" s="111">
        <f t="shared" si="38"/>
        <v>216.24784440197485</v>
      </c>
      <c r="BB82" s="111">
        <f t="shared" si="39"/>
        <v>124.63499999999999</v>
      </c>
      <c r="BC82" s="25">
        <f t="shared" si="40"/>
        <v>26.875170137322442</v>
      </c>
      <c r="BD82" s="80">
        <f>(('[1]setup'!$B$13*'[1]setup'!$B$14*'[1]setup'!$B$15)/10^(-S82))*10^6</f>
        <v>52.11872748585635</v>
      </c>
      <c r="BE82" s="74">
        <f t="shared" si="41"/>
        <v>19.48814995849336</v>
      </c>
      <c r="BF82" s="75">
        <f t="shared" si="42"/>
        <v>91.61284440197487</v>
      </c>
      <c r="BG82" s="73">
        <f t="shared" si="43"/>
        <v>216.47535414505208</v>
      </c>
      <c r="BH82" s="73">
        <f t="shared" si="44"/>
        <v>196.2418774443497</v>
      </c>
      <c r="BI82" s="76">
        <f t="shared" si="45"/>
        <v>4.9025034944099355</v>
      </c>
      <c r="BJ82" s="59"/>
      <c r="BK82" s="81">
        <f>(3*('[1]setup'!$D$19*(10^-S82)^3)+2*('[1]setup'!$D$20*'[1]setup'!$D$19*((10^-S82)^2))+('[1]setup'!$D$21*'[1]setup'!$D$19*10^-S82)+('[1]setup'!$D$19*'[1]setup'!$D$22*(AP82/(10^6*2))*(10^-S82)^3))*10^6</f>
        <v>0.00023651832618070827</v>
      </c>
      <c r="BL82" s="82">
        <f t="shared" si="46"/>
        <v>39.7218631775219</v>
      </c>
      <c r="BM82" s="75">
        <f>(BL82/((('[1]setup'!$C$26)/10^-S82)+2*(('[1]setup'!$C$26*'[1]setup'!$C$27)/(10^-S82^2))+3*(('[1]setup'!$C$26*'[1]setup'!$C$27*'[1]setup'!$C$28)/(10^-S82^3))))/(10^-S82^3/(10^-S82^3+'[1]setup'!$C$26*10^-S82^2+'[1]setup'!$C$26*'[1]setup'!$C$27*10^-S82+'[1]setup'!$C$26*'[1]setup'!$C$27*'[1]setup'!$C$28))</f>
        <v>15.282662137424674</v>
      </c>
      <c r="BN82" s="75"/>
      <c r="BO82" s="137">
        <f t="shared" si="47"/>
        <v>216.24784440197485</v>
      </c>
      <c r="BP82" s="137">
        <f t="shared" si="48"/>
        <v>124.63499999999999</v>
      </c>
      <c r="BQ82" s="137">
        <f t="shared" si="49"/>
        <v>1.735049098583663</v>
      </c>
      <c r="BR82" s="137">
        <f t="shared" si="50"/>
        <v>90.54141583054627</v>
      </c>
      <c r="BS82" s="137">
        <f t="shared" si="51"/>
        <v>1.6696086233089777</v>
      </c>
    </row>
    <row r="83" spans="1:71" s="49" customFormat="1" ht="12.75">
      <c r="A83" s="110">
        <v>40091</v>
      </c>
      <c r="B83" s="139">
        <v>14.5</v>
      </c>
      <c r="C83" s="15" t="s">
        <v>90</v>
      </c>
      <c r="D83" s="140">
        <v>994607</v>
      </c>
      <c r="F83" s="145">
        <v>0.03903</v>
      </c>
      <c r="G83" s="145">
        <v>0.002891</v>
      </c>
      <c r="H83" s="145">
        <v>0.0891</v>
      </c>
      <c r="I83" s="145">
        <v>1.849</v>
      </c>
      <c r="J83" s="145">
        <v>0.01</v>
      </c>
      <c r="K83" s="165">
        <v>0.0255223</v>
      </c>
      <c r="L83" s="145">
        <v>0.005</v>
      </c>
      <c r="M83" s="145">
        <v>0.233</v>
      </c>
      <c r="N83" s="145">
        <v>0.6657</v>
      </c>
      <c r="O83" s="145">
        <v>0.367</v>
      </c>
      <c r="P83" s="145">
        <v>3.215</v>
      </c>
      <c r="Q83" s="165">
        <v>0.5012</v>
      </c>
      <c r="R83" s="165">
        <v>2.841</v>
      </c>
      <c r="S83" s="145">
        <v>6.309</v>
      </c>
      <c r="T83" s="145">
        <v>15</v>
      </c>
      <c r="U83" s="145">
        <v>22.49</v>
      </c>
      <c r="V83" s="145">
        <v>0.05</v>
      </c>
      <c r="W83" s="145"/>
      <c r="X83" s="145">
        <v>0.002</v>
      </c>
      <c r="Y83" s="145">
        <v>0.002</v>
      </c>
      <c r="Z83" s="153">
        <v>4.62</v>
      </c>
      <c r="AA83" s="153">
        <v>0.1361</v>
      </c>
      <c r="AB83" s="76">
        <v>0.10057769999999999</v>
      </c>
      <c r="AE83" s="106">
        <f t="shared" si="52"/>
        <v>1.3939285714285716</v>
      </c>
      <c r="AF83" s="79">
        <f t="shared" si="53"/>
        <v>0.10512727272727274</v>
      </c>
      <c r="AG83" s="79">
        <f t="shared" si="54"/>
        <v>9.899999999999999</v>
      </c>
      <c r="AH83" s="79">
        <f t="shared" si="55"/>
        <v>264.1428571428571</v>
      </c>
      <c r="AI83" s="79">
        <f t="shared" si="56"/>
        <v>0.7142857142857143</v>
      </c>
      <c r="AJ83" s="79">
        <f t="shared" si="57"/>
        <v>1.8230214285714288</v>
      </c>
      <c r="AK83" s="79">
        <f t="shared" si="58"/>
        <v>0.4838709677419355</v>
      </c>
      <c r="AL83" s="79">
        <f t="shared" si="59"/>
        <v>5.9743589743589745</v>
      </c>
      <c r="AM83" s="79">
        <f t="shared" si="60"/>
        <v>33.285</v>
      </c>
      <c r="AN83" s="79">
        <f t="shared" si="61"/>
        <v>30.583333333333332</v>
      </c>
      <c r="AO83" s="79">
        <f t="shared" si="62"/>
        <v>139.7826086956522</v>
      </c>
      <c r="AP83" s="79">
        <f t="shared" si="63"/>
        <v>31.325</v>
      </c>
      <c r="AQ83" s="79">
        <f t="shared" si="64"/>
        <v>81.17142857142858</v>
      </c>
      <c r="AR83" s="69">
        <f t="shared" si="34"/>
        <v>0.49090787615260284</v>
      </c>
      <c r="AS83" s="79">
        <f t="shared" si="65"/>
        <v>4.838709677419355</v>
      </c>
      <c r="AT83" s="79"/>
      <c r="AU83" s="79">
        <f t="shared" si="66"/>
        <v>0.06349206349206349</v>
      </c>
      <c r="AV83" s="79">
        <f t="shared" si="67"/>
        <v>0.061538461538461535</v>
      </c>
      <c r="AW83" s="106">
        <f t="shared" si="35"/>
        <v>9.721428571428572</v>
      </c>
      <c r="AX83" s="69">
        <f t="shared" si="36"/>
        <v>7.184121428571428</v>
      </c>
      <c r="AY83" s="69"/>
      <c r="AZ83" s="69">
        <f t="shared" si="37"/>
        <v>2.537307142857143</v>
      </c>
      <c r="BA83" s="111">
        <f t="shared" si="38"/>
        <v>210.3395867176302</v>
      </c>
      <c r="BB83" s="111">
        <f t="shared" si="39"/>
        <v>114.31945</v>
      </c>
      <c r="BC83" s="25">
        <f t="shared" si="40"/>
        <v>29.575685829790405</v>
      </c>
      <c r="BD83" s="80">
        <f>(('[1]setup'!$B$13*'[1]setup'!$B$14*'[1]setup'!$B$15)/10^(-S83))*10^6</f>
        <v>24.154263713895144</v>
      </c>
      <c r="BE83" s="74">
        <f t="shared" si="41"/>
        <v>43.592773611531065</v>
      </c>
      <c r="BF83" s="75">
        <f t="shared" si="42"/>
        <v>96.02013671763022</v>
      </c>
      <c r="BG83" s="73">
        <f t="shared" si="43"/>
        <v>210.83049459378282</v>
      </c>
      <c r="BH83" s="73">
        <f t="shared" si="44"/>
        <v>182.0664873254262</v>
      </c>
      <c r="BI83" s="76">
        <f t="shared" si="45"/>
        <v>7.321004892389659</v>
      </c>
      <c r="BJ83" s="59"/>
      <c r="BK83" s="81">
        <f>(3*('[1]setup'!$D$19*(10^-S83)^3)+2*('[1]setup'!$D$20*'[1]setup'!$D$19*((10^-S83)^2))+('[1]setup'!$D$21*'[1]setup'!$D$19*10^-S83)+('[1]setup'!$D$19*'[1]setup'!$D$22*(AP83/(10^6*2))*(10^-S83)^3))*10^6</f>
        <v>0.0006217504169874184</v>
      </c>
      <c r="BL83" s="82">
        <f t="shared" si="46"/>
        <v>72.35740263030468</v>
      </c>
      <c r="BM83" s="75">
        <f>(BL83/((('[1]setup'!$C$26)/10^-S83)+2*(('[1]setup'!$C$26*'[1]setup'!$C$27)/(10^-S83^2))+3*(('[1]setup'!$C$26*'[1]setup'!$C$27*'[1]setup'!$C$28)/(10^-S83^3))))/(10^-S83^3/(10^-S83^3+'[1]setup'!$C$26*10^-S83^2+'[1]setup'!$C$26*'[1]setup'!$C$27*10^-S83+'[1]setup'!$C$26*'[1]setup'!$C$27*'[1]setup'!$C$28))</f>
        <v>30.137759262560486</v>
      </c>
      <c r="BN83" s="75"/>
      <c r="BO83" s="137">
        <f t="shared" si="47"/>
        <v>210.3395867176302</v>
      </c>
      <c r="BP83" s="137">
        <f t="shared" si="48"/>
        <v>114.31945</v>
      </c>
      <c r="BQ83" s="137">
        <f t="shared" si="49"/>
        <v>1.8399282599560285</v>
      </c>
      <c r="BR83" s="137">
        <f t="shared" si="50"/>
        <v>95.30585100334447</v>
      </c>
      <c r="BS83" s="137">
        <f t="shared" si="51"/>
        <v>1.7220666329981789</v>
      </c>
    </row>
    <row r="84" spans="1:71" ht="12.75">
      <c r="A84" s="110">
        <v>40106</v>
      </c>
      <c r="B84" s="16">
        <v>10.4</v>
      </c>
      <c r="C84" s="15" t="s">
        <v>90</v>
      </c>
      <c r="D84" s="140">
        <v>997818</v>
      </c>
      <c r="F84" s="9">
        <v>0.03354</v>
      </c>
      <c r="G84" s="9">
        <v>0.002</v>
      </c>
      <c r="H84" s="9">
        <v>0.04666</v>
      </c>
      <c r="I84" s="9">
        <v>2.029</v>
      </c>
      <c r="J84" s="9">
        <v>0.01</v>
      </c>
      <c r="K84" s="145">
        <v>0.025805</v>
      </c>
      <c r="L84" s="9">
        <v>0.005</v>
      </c>
      <c r="M84" s="9">
        <v>0.2428</v>
      </c>
      <c r="N84" s="9">
        <v>0.6866</v>
      </c>
      <c r="O84" s="9">
        <v>0.3559</v>
      </c>
      <c r="P84" s="9">
        <v>3.328</v>
      </c>
      <c r="Q84" s="145">
        <v>0.6073</v>
      </c>
      <c r="R84" s="145">
        <v>2.964</v>
      </c>
      <c r="S84" s="9">
        <v>6.582</v>
      </c>
      <c r="T84" s="9">
        <v>20.4</v>
      </c>
      <c r="U84" s="9">
        <v>23.25</v>
      </c>
      <c r="V84" s="9">
        <v>0.05</v>
      </c>
      <c r="W84" s="9"/>
      <c r="X84" s="9">
        <v>0.002</v>
      </c>
      <c r="Y84" s="9">
        <v>0.002</v>
      </c>
      <c r="Z84" s="94">
        <v>2.736</v>
      </c>
      <c r="AA84" s="94">
        <v>0.107</v>
      </c>
      <c r="AB84" s="76">
        <v>0.071195</v>
      </c>
      <c r="AE84" s="106">
        <f t="shared" si="52"/>
        <v>1.197857142857143</v>
      </c>
      <c r="AF84" s="79">
        <f t="shared" si="53"/>
        <v>0.07272727272727272</v>
      </c>
      <c r="AG84" s="79">
        <f t="shared" si="54"/>
        <v>5.184444444444445</v>
      </c>
      <c r="AH84" s="79">
        <f t="shared" si="55"/>
        <v>289.8571428571429</v>
      </c>
      <c r="AI84" s="79">
        <f t="shared" si="56"/>
        <v>0.7142857142857143</v>
      </c>
      <c r="AJ84" s="79">
        <f t="shared" si="57"/>
        <v>1.843214285714286</v>
      </c>
      <c r="AK84" s="79">
        <f t="shared" si="58"/>
        <v>0.4838709677419355</v>
      </c>
      <c r="AL84" s="79">
        <f t="shared" si="59"/>
        <v>6.225641025641026</v>
      </c>
      <c r="AM84" s="79">
        <f t="shared" si="60"/>
        <v>34.33</v>
      </c>
      <c r="AN84" s="79">
        <f t="shared" si="61"/>
        <v>29.65833333333333</v>
      </c>
      <c r="AO84" s="79">
        <f t="shared" si="62"/>
        <v>144.69565217391303</v>
      </c>
      <c r="AP84" s="79">
        <f t="shared" si="63"/>
        <v>37.95625</v>
      </c>
      <c r="AQ84" s="79">
        <f t="shared" si="64"/>
        <v>84.68571428571428</v>
      </c>
      <c r="AR84" s="69">
        <f t="shared" si="34"/>
        <v>0.2618183008218986</v>
      </c>
      <c r="AS84" s="79">
        <f t="shared" si="65"/>
        <v>4.838709677419355</v>
      </c>
      <c r="AT84" s="79"/>
      <c r="AU84" s="79">
        <f t="shared" si="66"/>
        <v>0.06349206349206349</v>
      </c>
      <c r="AV84" s="79">
        <f t="shared" si="67"/>
        <v>0.061538461538461535</v>
      </c>
      <c r="AW84" s="106">
        <f t="shared" si="35"/>
        <v>7.642857142857143</v>
      </c>
      <c r="AX84" s="69">
        <f t="shared" si="36"/>
        <v>5.085357142857142</v>
      </c>
      <c r="AY84" s="69"/>
      <c r="AZ84" s="69">
        <f t="shared" si="37"/>
        <v>2.5575</v>
      </c>
      <c r="BA84" s="111">
        <f t="shared" si="38"/>
        <v>215.6239122471731</v>
      </c>
      <c r="BB84" s="111">
        <f t="shared" si="39"/>
        <v>124.48517857142858</v>
      </c>
      <c r="BC84" s="25">
        <f t="shared" si="40"/>
        <v>26.796911972092413</v>
      </c>
      <c r="BD84" s="80">
        <f>(('[1]setup'!$B$13*'[1]setup'!$B$14*'[1]setup'!$B$15)/10^(-S84))*10^6</f>
        <v>45.28911180996551</v>
      </c>
      <c r="BE84" s="74">
        <f t="shared" si="41"/>
        <v>26.28377874092557</v>
      </c>
      <c r="BF84" s="75">
        <f t="shared" si="42"/>
        <v>91.13873367574455</v>
      </c>
      <c r="BG84" s="73">
        <f t="shared" si="43"/>
        <v>215.885730547995</v>
      </c>
      <c r="BH84" s="73">
        <f t="shared" si="44"/>
        <v>196.05806912231964</v>
      </c>
      <c r="BI84" s="76">
        <f t="shared" si="45"/>
        <v>4.813195742123988</v>
      </c>
      <c r="BJ84" s="59"/>
      <c r="BK84" s="81">
        <f>(3*('[1]setup'!$D$19*(10^-S84)^3)+2*('[1]setup'!$D$20*'[1]setup'!$D$19*((10^-S84)^2))+('[1]setup'!$D$21*'[1]setup'!$D$19*10^-S84)+('[1]setup'!$D$19*'[1]setup'!$D$22*(AP84/(10^6*2))*(10^-S84)^3))*10^6</f>
        <v>0.0002793066528966703</v>
      </c>
      <c r="BL84" s="82">
        <f t="shared" si="46"/>
        <v>46.1117194732538</v>
      </c>
      <c r="BM84" s="75">
        <f>(BL84/((('[1]setup'!$C$26)/10^-S84)+2*(('[1]setup'!$C$26*'[1]setup'!$C$27)/(10^-S84^2))+3*(('[1]setup'!$C$26*'[1]setup'!$C$27*'[1]setup'!$C$28)/(10^-S84^3))))/(10^-S84^3/(10^-S84^3+'[1]setup'!$C$26*10^-S84^2+'[1]setup'!$C$26*'[1]setup'!$C$27*10^-S84+'[1]setup'!$C$26*'[1]setup'!$C$27*'[1]setup'!$C$28))</f>
        <v>17.983820818691928</v>
      </c>
      <c r="BN84" s="75"/>
      <c r="BO84" s="137">
        <f t="shared" si="47"/>
        <v>215.6239122471731</v>
      </c>
      <c r="BP84" s="137">
        <f t="shared" si="48"/>
        <v>124.48517857142858</v>
      </c>
      <c r="BQ84" s="137">
        <f t="shared" si="49"/>
        <v>1.7321251792513586</v>
      </c>
      <c r="BR84" s="137">
        <f t="shared" si="50"/>
        <v>90.42444796145881</v>
      </c>
      <c r="BS84" s="137">
        <f t="shared" si="51"/>
        <v>1.7086193745232645</v>
      </c>
    </row>
    <row r="85" spans="1:71" ht="12.75">
      <c r="A85" s="110">
        <v>40128</v>
      </c>
      <c r="B85" s="16">
        <v>11.25</v>
      </c>
      <c r="C85" s="15" t="s">
        <v>90</v>
      </c>
      <c r="D85" s="140">
        <v>1003125</v>
      </c>
      <c r="F85" s="9">
        <v>0.006</v>
      </c>
      <c r="G85" s="9">
        <v>0.002251</v>
      </c>
      <c r="H85" s="9">
        <v>0.04524</v>
      </c>
      <c r="I85" s="9">
        <v>2.023</v>
      </c>
      <c r="J85" s="145">
        <v>0.01</v>
      </c>
      <c r="K85" s="9">
        <v>0.0255796</v>
      </c>
      <c r="L85" s="145">
        <v>0.006</v>
      </c>
      <c r="M85" s="9">
        <v>0.2074</v>
      </c>
      <c r="N85" s="9">
        <v>0.686</v>
      </c>
      <c r="O85" s="9">
        <v>0.3514</v>
      </c>
      <c r="P85" s="9">
        <v>3.367</v>
      </c>
      <c r="Q85" s="9">
        <v>0.6216</v>
      </c>
      <c r="R85" s="9">
        <v>2.843</v>
      </c>
      <c r="S85" s="9">
        <v>6.465</v>
      </c>
      <c r="T85" s="9">
        <v>17.8</v>
      </c>
      <c r="U85" s="9">
        <v>21.73</v>
      </c>
      <c r="V85" s="9">
        <v>0.05</v>
      </c>
      <c r="W85" s="9"/>
      <c r="X85" s="9">
        <v>0.002</v>
      </c>
      <c r="Y85" s="9">
        <v>0.002</v>
      </c>
      <c r="Z85" s="94">
        <v>3.049</v>
      </c>
      <c r="AA85" s="94">
        <v>0.1207</v>
      </c>
      <c r="AB85" s="76">
        <v>0.0851204</v>
      </c>
      <c r="AE85" s="106">
        <f t="shared" si="52"/>
        <v>0.2142857142857143</v>
      </c>
      <c r="AF85" s="79">
        <f t="shared" si="53"/>
        <v>0.08185454545454546</v>
      </c>
      <c r="AG85" s="79">
        <f t="shared" si="54"/>
        <v>5.026666666666667</v>
      </c>
      <c r="AH85" s="79">
        <f t="shared" si="55"/>
        <v>289.00000000000006</v>
      </c>
      <c r="AI85" s="79">
        <f t="shared" si="56"/>
        <v>0.7142857142857143</v>
      </c>
      <c r="AJ85" s="79">
        <f t="shared" si="57"/>
        <v>1.8271142857142857</v>
      </c>
      <c r="AK85" s="79">
        <f t="shared" si="58"/>
        <v>0.5806451612903225</v>
      </c>
      <c r="AL85" s="79">
        <f t="shared" si="59"/>
        <v>5.317948717948718</v>
      </c>
      <c r="AM85" s="79">
        <f t="shared" si="60"/>
        <v>34.300000000000004</v>
      </c>
      <c r="AN85" s="79">
        <f t="shared" si="61"/>
        <v>29.28333333333333</v>
      </c>
      <c r="AO85" s="79">
        <f t="shared" si="62"/>
        <v>146.39130434782606</v>
      </c>
      <c r="AP85" s="79">
        <f t="shared" si="63"/>
        <v>38.85</v>
      </c>
      <c r="AQ85" s="79">
        <f t="shared" si="64"/>
        <v>81.22857142857143</v>
      </c>
      <c r="AR85" s="69">
        <f t="shared" si="34"/>
        <v>0.34276778654645046</v>
      </c>
      <c r="AS85" s="79">
        <f t="shared" si="65"/>
        <v>4.838709677419355</v>
      </c>
      <c r="AT85" s="79"/>
      <c r="AU85" s="79">
        <f t="shared" si="66"/>
        <v>0.06349206349206349</v>
      </c>
      <c r="AV85" s="79">
        <f t="shared" si="67"/>
        <v>0.061538461538461535</v>
      </c>
      <c r="AW85" s="106">
        <f t="shared" si="35"/>
        <v>8.621428571428572</v>
      </c>
      <c r="AX85" s="69">
        <f t="shared" si="36"/>
        <v>6.080028571428572</v>
      </c>
      <c r="AY85" s="69"/>
      <c r="AZ85" s="69">
        <f t="shared" si="37"/>
        <v>2.5414</v>
      </c>
      <c r="BA85" s="111">
        <f t="shared" si="38"/>
        <v>216.00687211339385</v>
      </c>
      <c r="BB85" s="111">
        <f t="shared" si="39"/>
        <v>121.90568571428571</v>
      </c>
      <c r="BC85" s="25">
        <f t="shared" si="40"/>
        <v>27.847792045389326</v>
      </c>
      <c r="BD85" s="80">
        <f>(('[1]setup'!$B$13*'[1]setup'!$B$14*'[1]setup'!$B$15)/10^(-S85))*10^6</f>
        <v>34.59344420690264</v>
      </c>
      <c r="BE85" s="74">
        <f t="shared" si="41"/>
        <v>29.086727275497775</v>
      </c>
      <c r="BF85" s="75">
        <f t="shared" si="42"/>
        <v>94.10118639910814</v>
      </c>
      <c r="BG85" s="73">
        <f t="shared" si="43"/>
        <v>216.3496398999403</v>
      </c>
      <c r="BH85" s="73">
        <f t="shared" si="44"/>
        <v>185.5858571966861</v>
      </c>
      <c r="BI85" s="76">
        <f t="shared" si="45"/>
        <v>7.65391037255376</v>
      </c>
      <c r="BJ85" s="59"/>
      <c r="BK85" s="81">
        <f>(3*('[1]setup'!$D$19*(10^-S85)^3)+2*('[1]setup'!$D$20*'[1]setup'!$D$19*((10^-S85)^2))+('[1]setup'!$D$21*'[1]setup'!$D$19*10^-S85)+('[1]setup'!$D$19*'[1]setup'!$D$22*(AP85/(10^6*2))*(10^-S85)^3))*10^6</f>
        <v>0.0003886247768483286</v>
      </c>
      <c r="BL85" s="82">
        <f t="shared" si="46"/>
        <v>59.85089860352883</v>
      </c>
      <c r="BM85" s="75">
        <f>(BL85/((('[1]setup'!$C$26)/10^-S85)+2*(('[1]setup'!$C$26*'[1]setup'!$C$27)/(10^-S85^2))+3*(('[1]setup'!$C$26*'[1]setup'!$C$27*'[1]setup'!$C$28)/(10^-S85^3))))/(10^-S85^3/(10^-S85^3+'[1]setup'!$C$26*10^-S85^2+'[1]setup'!$C$26*'[1]setup'!$C$27*10^-S85+'[1]setup'!$C$26*'[1]setup'!$C$27*'[1]setup'!$C$28))</f>
        <v>23.99187762617191</v>
      </c>
      <c r="BN85" s="75"/>
      <c r="BO85" s="137">
        <f t="shared" si="47"/>
        <v>216.00687211339383</v>
      </c>
      <c r="BP85" s="137">
        <f t="shared" si="48"/>
        <v>121.90568571428571</v>
      </c>
      <c r="BQ85" s="137">
        <f t="shared" si="49"/>
        <v>1.7719179449895068</v>
      </c>
      <c r="BR85" s="137">
        <f t="shared" si="50"/>
        <v>93.38690068482242</v>
      </c>
      <c r="BS85" s="137">
        <f t="shared" si="51"/>
        <v>1.8022144397375703</v>
      </c>
    </row>
    <row r="86" spans="1:71" ht="12.75">
      <c r="A86" s="110">
        <v>40226</v>
      </c>
      <c r="B86" s="16">
        <v>13</v>
      </c>
      <c r="C86" s="15" t="s">
        <v>90</v>
      </c>
      <c r="D86" s="140">
        <v>1013390</v>
      </c>
      <c r="F86" s="9">
        <v>0.03967</v>
      </c>
      <c r="G86" s="9">
        <v>0.002337</v>
      </c>
      <c r="H86" s="9">
        <v>0.05542</v>
      </c>
      <c r="I86" s="9">
        <v>1.948</v>
      </c>
      <c r="J86" s="9">
        <v>0.01</v>
      </c>
      <c r="K86" s="145">
        <v>0.04901</v>
      </c>
      <c r="L86" s="9">
        <v>0.005</v>
      </c>
      <c r="M86" s="9">
        <v>0.2542</v>
      </c>
      <c r="N86" s="9">
        <v>0.5032</v>
      </c>
      <c r="O86" s="9">
        <v>0.2633</v>
      </c>
      <c r="P86" s="9">
        <v>2.927</v>
      </c>
      <c r="Q86" s="9">
        <v>0.5758</v>
      </c>
      <c r="R86" s="145">
        <v>2.846</v>
      </c>
      <c r="S86" s="9">
        <v>6.235</v>
      </c>
      <c r="T86" s="9">
        <v>18</v>
      </c>
      <c r="U86" s="9">
        <v>21.07</v>
      </c>
      <c r="V86" s="9">
        <v>0.05</v>
      </c>
      <c r="W86" s="9"/>
      <c r="X86" s="9">
        <v>0.002</v>
      </c>
      <c r="Y86" s="9">
        <v>0.002131</v>
      </c>
      <c r="Z86" s="33">
        <v>3.936</v>
      </c>
      <c r="AA86" s="33">
        <v>0.153</v>
      </c>
      <c r="AB86" s="76">
        <v>0.09398999999999999</v>
      </c>
      <c r="AE86" s="106">
        <f t="shared" si="52"/>
        <v>1.416785714285714</v>
      </c>
      <c r="AF86" s="79">
        <f t="shared" si="53"/>
        <v>0.08498181818181819</v>
      </c>
      <c r="AG86" s="79">
        <f t="shared" si="54"/>
        <v>6.157777777777778</v>
      </c>
      <c r="AH86" s="79">
        <f t="shared" si="55"/>
        <v>278.2857142857143</v>
      </c>
      <c r="AI86" s="79">
        <f t="shared" si="56"/>
        <v>0.7142857142857143</v>
      </c>
      <c r="AJ86" s="79">
        <f t="shared" si="57"/>
        <v>3.5007142857142854</v>
      </c>
      <c r="AK86" s="79">
        <f t="shared" si="58"/>
        <v>0.4838709677419355</v>
      </c>
      <c r="AL86" s="79">
        <f t="shared" si="59"/>
        <v>6.517948717948718</v>
      </c>
      <c r="AM86" s="79">
        <f t="shared" si="60"/>
        <v>25.159999999999997</v>
      </c>
      <c r="AN86" s="79">
        <f t="shared" si="61"/>
        <v>21.941666666666666</v>
      </c>
      <c r="AO86" s="79">
        <f t="shared" si="62"/>
        <v>127.2608695652174</v>
      </c>
      <c r="AP86" s="79">
        <f t="shared" si="63"/>
        <v>35.9875</v>
      </c>
      <c r="AQ86" s="79">
        <f t="shared" si="64"/>
        <v>81.31428571428572</v>
      </c>
      <c r="AR86" s="69">
        <f t="shared" si="34"/>
        <v>0.582103217770871</v>
      </c>
      <c r="AS86" s="79">
        <f t="shared" si="65"/>
        <v>4.838709677419355</v>
      </c>
      <c r="AT86" s="79"/>
      <c r="AU86" s="79">
        <f t="shared" si="66"/>
        <v>0.06349206349206349</v>
      </c>
      <c r="AV86" s="79">
        <f t="shared" si="67"/>
        <v>0.06556923076923077</v>
      </c>
      <c r="AW86" s="106">
        <f t="shared" si="35"/>
        <v>10.928571428571429</v>
      </c>
      <c r="AX86" s="69">
        <f t="shared" si="36"/>
        <v>6.713571428571428</v>
      </c>
      <c r="AY86" s="69"/>
      <c r="AZ86" s="69">
        <f t="shared" si="37"/>
        <v>4.215</v>
      </c>
      <c r="BA86" s="111">
        <f t="shared" si="38"/>
        <v>181.59477066411853</v>
      </c>
      <c r="BB86" s="111">
        <f t="shared" si="39"/>
        <v>120.80250000000001</v>
      </c>
      <c r="BC86" s="25">
        <f t="shared" si="40"/>
        <v>20.10344555379346</v>
      </c>
      <c r="BD86" s="80">
        <f>(('[1]setup'!$B$13*'[1]setup'!$B$14*'[1]setup'!$B$15)/10^(-S86))*10^6</f>
        <v>20.370130138132218</v>
      </c>
      <c r="BE86" s="74">
        <f t="shared" si="41"/>
        <v>36.91874495467072</v>
      </c>
      <c r="BF86" s="75">
        <f t="shared" si="42"/>
        <v>60.792270664118504</v>
      </c>
      <c r="BG86" s="73">
        <f t="shared" si="43"/>
        <v>182.17687388188938</v>
      </c>
      <c r="BH86" s="73">
        <f t="shared" si="44"/>
        <v>178.09137509280293</v>
      </c>
      <c r="BI86" s="76">
        <f t="shared" si="45"/>
        <v>1.1340157787186615</v>
      </c>
      <c r="BJ86" s="59"/>
      <c r="BK86" s="81">
        <f>(3*('[1]setup'!$D$19*(10^-S86)^3)+2*('[1]setup'!$D$20*'[1]setup'!$D$19*((10^-S86)^2))+('[1]setup'!$D$21*'[1]setup'!$D$19*10^-S86)+('[1]setup'!$D$19*'[1]setup'!$D$22*(AP86/(10^6*2))*(10^-S86)^3))*10^6</f>
        <v>0.000788700842858086</v>
      </c>
      <c r="BL86" s="82">
        <f t="shared" si="46"/>
        <v>41.00503244460003</v>
      </c>
      <c r="BM86" s="75">
        <f>(BL86/((('[1]setup'!$C$26)/10^-S86)+2*(('[1]setup'!$C$26*'[1]setup'!$C$27)/(10^-S86^2))+3*(('[1]setup'!$C$26*'[1]setup'!$C$27*'[1]setup'!$C$28)/(10^-S86^3))))/(10^-S86^3/(10^-S86^3+'[1]setup'!$C$26*10^-S86^2+'[1]setup'!$C$26*'[1]setup'!$C$27*10^-S86+'[1]setup'!$C$26*'[1]setup'!$C$27*'[1]setup'!$C$28))</f>
        <v>17.395202888067587</v>
      </c>
      <c r="BN86" s="75"/>
      <c r="BO86" s="137">
        <f t="shared" si="47"/>
        <v>181.5947706641185</v>
      </c>
      <c r="BP86" s="137">
        <f t="shared" si="48"/>
        <v>120.80250000000001</v>
      </c>
      <c r="BQ86" s="137">
        <f t="shared" si="49"/>
        <v>1.503236859039494</v>
      </c>
      <c r="BR86" s="137">
        <f t="shared" si="50"/>
        <v>60.077984949832796</v>
      </c>
      <c r="BS86" s="137">
        <f t="shared" si="51"/>
        <v>1.565049344617923</v>
      </c>
    </row>
    <row r="87" spans="1:71" ht="12.75">
      <c r="A87" s="138">
        <v>40266</v>
      </c>
      <c r="B87" s="16">
        <v>18</v>
      </c>
      <c r="C87" s="15" t="s">
        <v>90</v>
      </c>
      <c r="D87" s="140">
        <v>1019257</v>
      </c>
      <c r="F87" s="9">
        <v>0.006</v>
      </c>
      <c r="G87" s="9">
        <v>0.002</v>
      </c>
      <c r="H87" s="9">
        <v>0.04303</v>
      </c>
      <c r="I87" s="9">
        <v>1.822</v>
      </c>
      <c r="J87" s="166">
        <v>0.01</v>
      </c>
      <c r="K87" s="165">
        <v>0.025692</v>
      </c>
      <c r="L87" s="166">
        <v>0.005</v>
      </c>
      <c r="M87" s="9">
        <v>0.2976</v>
      </c>
      <c r="N87" s="9">
        <v>0.4924</v>
      </c>
      <c r="O87" s="9">
        <v>0.273</v>
      </c>
      <c r="P87" s="9">
        <v>2.724</v>
      </c>
      <c r="Q87" s="165">
        <v>0.5116</v>
      </c>
      <c r="R87" s="165">
        <v>2.815</v>
      </c>
      <c r="S87" s="9">
        <v>6.307</v>
      </c>
      <c r="T87" s="9">
        <v>18.7</v>
      </c>
      <c r="U87" s="9">
        <v>19.09</v>
      </c>
      <c r="V87" s="9">
        <v>0.05</v>
      </c>
      <c r="W87" s="9"/>
      <c r="X87" s="9">
        <v>0.002</v>
      </c>
      <c r="Y87" s="9">
        <v>0.002</v>
      </c>
      <c r="Z87" s="94">
        <v>2.886</v>
      </c>
      <c r="AA87" s="94">
        <v>0.1071</v>
      </c>
      <c r="AB87" s="76">
        <v>0.071408</v>
      </c>
      <c r="AE87" s="106">
        <f t="shared" si="52"/>
        <v>0.2142857142857143</v>
      </c>
      <c r="AF87" s="79">
        <f t="shared" si="53"/>
        <v>0.07272727272727272</v>
      </c>
      <c r="AG87" s="79">
        <f t="shared" si="54"/>
        <v>4.781111111111111</v>
      </c>
      <c r="AH87" s="79">
        <f t="shared" si="55"/>
        <v>260.2857142857143</v>
      </c>
      <c r="AI87" s="79">
        <f t="shared" si="56"/>
        <v>0.7142857142857143</v>
      </c>
      <c r="AJ87" s="79">
        <f t="shared" si="57"/>
        <v>1.835142857142857</v>
      </c>
      <c r="AK87" s="79">
        <f t="shared" si="58"/>
        <v>0.4838709677419355</v>
      </c>
      <c r="AL87" s="79">
        <f t="shared" si="59"/>
        <v>7.63076923076923</v>
      </c>
      <c r="AM87" s="79">
        <f t="shared" si="60"/>
        <v>24.62</v>
      </c>
      <c r="AN87" s="79">
        <f t="shared" si="61"/>
        <v>22.750000000000004</v>
      </c>
      <c r="AO87" s="79">
        <f t="shared" si="62"/>
        <v>118.43478260869567</v>
      </c>
      <c r="AP87" s="79">
        <f t="shared" si="63"/>
        <v>31.975000000000005</v>
      </c>
      <c r="AQ87" s="79">
        <f t="shared" si="64"/>
        <v>80.42857142857143</v>
      </c>
      <c r="AR87" s="69">
        <f t="shared" si="34"/>
        <v>0.49317380395493543</v>
      </c>
      <c r="AS87" s="79">
        <f t="shared" si="65"/>
        <v>4.838709677419355</v>
      </c>
      <c r="AT87" s="79"/>
      <c r="AU87" s="79">
        <f t="shared" si="66"/>
        <v>0.06349206349206349</v>
      </c>
      <c r="AV87" s="79">
        <f t="shared" si="67"/>
        <v>0.061538461538461535</v>
      </c>
      <c r="AW87" s="106">
        <f t="shared" si="35"/>
        <v>7.6499999999999995</v>
      </c>
      <c r="AX87" s="69">
        <f t="shared" si="36"/>
        <v>5.1005714285714285</v>
      </c>
      <c r="AY87" s="69"/>
      <c r="AZ87" s="69">
        <f t="shared" si="37"/>
        <v>2.5494285714285714</v>
      </c>
      <c r="BA87" s="111">
        <f t="shared" si="38"/>
        <v>174.14983755375061</v>
      </c>
      <c r="BB87" s="111">
        <f t="shared" si="39"/>
        <v>114.2387142857143</v>
      </c>
      <c r="BC87" s="25">
        <f t="shared" si="40"/>
        <v>20.77444575587265</v>
      </c>
      <c r="BD87" s="80">
        <f>(('[1]setup'!$B$13*'[1]setup'!$B$14*'[1]setup'!$B$15)/10^(-S87))*10^6</f>
        <v>24.043284952948646</v>
      </c>
      <c r="BE87" s="74">
        <f t="shared" si="41"/>
        <v>27.22713516474069</v>
      </c>
      <c r="BF87" s="75">
        <f t="shared" si="42"/>
        <v>59.91112326803635</v>
      </c>
      <c r="BG87" s="73">
        <f t="shared" si="43"/>
        <v>174.64301135770557</v>
      </c>
      <c r="BH87" s="73">
        <f t="shared" si="44"/>
        <v>165.50913440340364</v>
      </c>
      <c r="BI87" s="76">
        <f t="shared" si="45"/>
        <v>2.68523279012819</v>
      </c>
      <c r="BJ87" s="59"/>
      <c r="BK87" s="81">
        <f>(3*('[1]setup'!$D$19*(10^-S87)^3)+2*('[1]setup'!$D$20*'[1]setup'!$D$19*((10^-S87)^2))+('[1]setup'!$D$21*'[1]setup'!$D$19*10^-S87)+('[1]setup'!$D$19*'[1]setup'!$D$22*(AP87/(10^6*2))*(10^-S87)^3))*10^6</f>
        <v>0.000625675824668514</v>
      </c>
      <c r="BL87" s="82">
        <f t="shared" si="46"/>
        <v>36.361637794867306</v>
      </c>
      <c r="BM87" s="75">
        <f>(BL87/((('[1]setup'!$C$26)/10^-S87)+2*(('[1]setup'!$C$26*'[1]setup'!$C$27)/(10^-S87^2))+3*(('[1]setup'!$C$26*'[1]setup'!$C$27*'[1]setup'!$C$28)/(10^-S87^3))))/(10^-S87^3/(10^-S87^3+'[1]setup'!$C$26*10^-S87^2+'[1]setup'!$C$26*'[1]setup'!$C$27*10^-S87+'[1]setup'!$C$26*'[1]setup'!$C$27*'[1]setup'!$C$28))</f>
        <v>15.152590869697285</v>
      </c>
      <c r="BN87" s="75"/>
      <c r="BO87" s="137">
        <f t="shared" si="47"/>
        <v>174.14983755375061</v>
      </c>
      <c r="BP87" s="137">
        <f t="shared" si="48"/>
        <v>114.2387142857143</v>
      </c>
      <c r="BQ87" s="137">
        <f t="shared" si="49"/>
        <v>1.5244380037243495</v>
      </c>
      <c r="BR87" s="137">
        <f t="shared" si="50"/>
        <v>59.1968375537506</v>
      </c>
      <c r="BS87" s="137">
        <f t="shared" si="51"/>
        <v>1.4725461425592712</v>
      </c>
    </row>
    <row r="88" spans="1:71" ht="12.75">
      <c r="A88" s="138">
        <v>40280</v>
      </c>
      <c r="B88" s="16">
        <v>15.3</v>
      </c>
      <c r="C88" s="15" t="s">
        <v>90</v>
      </c>
      <c r="D88" s="140">
        <v>1020467</v>
      </c>
      <c r="F88" s="9">
        <v>0.03191</v>
      </c>
      <c r="G88" s="9">
        <v>0.002379</v>
      </c>
      <c r="H88" s="9">
        <v>0.04929</v>
      </c>
      <c r="I88" s="9">
        <v>1.217</v>
      </c>
      <c r="J88" s="9">
        <v>0.01</v>
      </c>
      <c r="K88" s="165">
        <v>0.025694</v>
      </c>
      <c r="L88" s="9">
        <v>0.005</v>
      </c>
      <c r="M88" s="9">
        <v>0.2588</v>
      </c>
      <c r="N88" s="9">
        <v>0.3828</v>
      </c>
      <c r="O88" s="9">
        <v>0.1872</v>
      </c>
      <c r="P88" s="9">
        <v>2.127</v>
      </c>
      <c r="Q88" s="165">
        <v>0.3886</v>
      </c>
      <c r="R88" s="165">
        <v>1.798</v>
      </c>
      <c r="S88" s="145">
        <v>6.144</v>
      </c>
      <c r="T88" s="145">
        <v>15.3</v>
      </c>
      <c r="U88" s="145">
        <v>15.14</v>
      </c>
      <c r="V88" s="9">
        <v>0.05</v>
      </c>
      <c r="W88" s="9"/>
      <c r="X88" s="9">
        <v>0.002</v>
      </c>
      <c r="Y88" s="9">
        <v>0.002251</v>
      </c>
      <c r="Z88" s="94">
        <v>2.571</v>
      </c>
      <c r="AA88" s="94">
        <v>0.1314</v>
      </c>
      <c r="AB88" s="76">
        <v>0.09570599999999999</v>
      </c>
      <c r="AE88" s="106">
        <f t="shared" si="52"/>
        <v>1.1396428571428572</v>
      </c>
      <c r="AF88" s="79">
        <f t="shared" si="53"/>
        <v>0.08650909090909091</v>
      </c>
      <c r="AG88" s="79">
        <f t="shared" si="54"/>
        <v>5.476666666666667</v>
      </c>
      <c r="AH88" s="79">
        <f t="shared" si="55"/>
        <v>173.8571428571429</v>
      </c>
      <c r="AI88" s="79">
        <f t="shared" si="56"/>
        <v>0.7142857142857143</v>
      </c>
      <c r="AJ88" s="79">
        <f t="shared" si="57"/>
        <v>1.8352857142857144</v>
      </c>
      <c r="AK88" s="79">
        <f t="shared" si="58"/>
        <v>0.4838709677419355</v>
      </c>
      <c r="AL88" s="79">
        <f t="shared" si="59"/>
        <v>6.635897435897435</v>
      </c>
      <c r="AM88" s="79">
        <f t="shared" si="60"/>
        <v>19.139999999999997</v>
      </c>
      <c r="AN88" s="79">
        <f t="shared" si="61"/>
        <v>15.600000000000001</v>
      </c>
      <c r="AO88" s="79">
        <f t="shared" si="62"/>
        <v>92.4782608695652</v>
      </c>
      <c r="AP88" s="79">
        <f t="shared" si="63"/>
        <v>24.2875</v>
      </c>
      <c r="AQ88" s="79">
        <f t="shared" si="64"/>
        <v>51.371428571428574</v>
      </c>
      <c r="AR88" s="69">
        <f t="shared" si="34"/>
        <v>0.7177942912713614</v>
      </c>
      <c r="AS88" s="79">
        <f t="shared" si="65"/>
        <v>4.838709677419355</v>
      </c>
      <c r="AT88" s="79"/>
      <c r="AU88" s="79">
        <f t="shared" si="66"/>
        <v>0.06349206349206349</v>
      </c>
      <c r="AV88" s="79">
        <f t="shared" si="67"/>
        <v>0.06926153846153846</v>
      </c>
      <c r="AW88" s="106">
        <f t="shared" si="35"/>
        <v>9.385714285714286</v>
      </c>
      <c r="AX88" s="69">
        <f t="shared" si="36"/>
        <v>6.836142857142856</v>
      </c>
      <c r="AY88" s="69"/>
      <c r="AZ88" s="69">
        <f t="shared" si="37"/>
        <v>2.549571428571429</v>
      </c>
      <c r="BA88" s="111">
        <f t="shared" si="38"/>
        <v>134.56844401974837</v>
      </c>
      <c r="BB88" s="111">
        <f t="shared" si="39"/>
        <v>77.49421428571429</v>
      </c>
      <c r="BC88" s="25">
        <f t="shared" si="40"/>
        <v>26.91385187288481</v>
      </c>
      <c r="BD88" s="80">
        <f>(('[1]setup'!$B$13*'[1]setup'!$B$14*'[1]setup'!$B$15)/10^(-S88))*10^6</f>
        <v>16.519382285440077</v>
      </c>
      <c r="BE88" s="74">
        <f t="shared" si="41"/>
        <v>23.922653914701034</v>
      </c>
      <c r="BF88" s="75">
        <f t="shared" si="42"/>
        <v>57.07422973403408</v>
      </c>
      <c r="BG88" s="73">
        <f t="shared" si="43"/>
        <v>135.28623831101973</v>
      </c>
      <c r="BH88" s="73">
        <f t="shared" si="44"/>
        <v>117.9362504858554</v>
      </c>
      <c r="BI88" s="76">
        <f t="shared" si="45"/>
        <v>6.851677316496875</v>
      </c>
      <c r="BJ88" s="59"/>
      <c r="BK88" s="81">
        <f>(3*('[1]setup'!$D$19*(10^-S88)^3)+2*('[1]setup'!$D$20*'[1]setup'!$D$19*((10^-S88)^2))+('[1]setup'!$D$21*'[1]setup'!$D$19*10^-S88)+('[1]setup'!$D$19*'[1]setup'!$D$22*(AP88/(10^6*2))*(10^-S88)^3))*10^6</f>
        <v>0.0010733795513474275</v>
      </c>
      <c r="BL88" s="82">
        <f t="shared" si="46"/>
        <v>41.27371511941671</v>
      </c>
      <c r="BM88" s="75">
        <f>(BL88/((('[1]setup'!$C$26)/10^-S88)+2*(('[1]setup'!$C$26*'[1]setup'!$C$27)/(10^-S88^2))+3*(('[1]setup'!$C$26*'[1]setup'!$C$27*'[1]setup'!$C$28)/(10^-S88^3))))/(10^-S88^3/(10^-S88^3+'[1]setup'!$C$26*10^-S88^2+'[1]setup'!$C$26*'[1]setup'!$C$27*10^-S88+'[1]setup'!$C$26*'[1]setup'!$C$27*'[1]setup'!$C$28))</f>
        <v>17.9042487103421</v>
      </c>
      <c r="BN88" s="75"/>
      <c r="BO88" s="137">
        <f t="shared" si="47"/>
        <v>134.56844401974837</v>
      </c>
      <c r="BP88" s="137">
        <f t="shared" si="48"/>
        <v>77.49421428571429</v>
      </c>
      <c r="BQ88" s="137">
        <f t="shared" si="49"/>
        <v>1.7364966566872522</v>
      </c>
      <c r="BR88" s="137">
        <f t="shared" si="50"/>
        <v>56.359944019748355</v>
      </c>
      <c r="BS88" s="137">
        <f t="shared" si="51"/>
        <v>1.8001886153697342</v>
      </c>
    </row>
    <row r="89" spans="1:71" ht="12.75">
      <c r="A89" s="138">
        <v>40295</v>
      </c>
      <c r="B89" s="16">
        <v>16.05</v>
      </c>
      <c r="C89" s="15" t="s">
        <v>90</v>
      </c>
      <c r="D89" s="140">
        <v>1021698</v>
      </c>
      <c r="F89" s="9">
        <v>0.006</v>
      </c>
      <c r="G89" s="9">
        <v>0.002271</v>
      </c>
      <c r="H89" s="9">
        <v>0.04783</v>
      </c>
      <c r="I89" s="9">
        <v>0.9945</v>
      </c>
      <c r="J89" s="152">
        <v>0.01</v>
      </c>
      <c r="K89" s="165">
        <v>0.03306</v>
      </c>
      <c r="L89" s="152">
        <v>0.005</v>
      </c>
      <c r="M89" s="9">
        <v>0.2057</v>
      </c>
      <c r="N89" s="9">
        <v>0.3457</v>
      </c>
      <c r="O89" s="9">
        <v>0.1897</v>
      </c>
      <c r="P89" s="9">
        <v>1.808</v>
      </c>
      <c r="Q89" s="165">
        <v>0.2798</v>
      </c>
      <c r="R89" s="165">
        <v>1.388</v>
      </c>
      <c r="S89" s="145">
        <v>6.278</v>
      </c>
      <c r="T89" s="145">
        <v>19.6</v>
      </c>
      <c r="U89" s="145">
        <v>12.54</v>
      </c>
      <c r="V89" s="9">
        <v>0.05</v>
      </c>
      <c r="W89" s="9"/>
      <c r="X89" s="9">
        <v>0.002</v>
      </c>
      <c r="Y89" s="9">
        <v>0.002663</v>
      </c>
      <c r="Z89" s="94">
        <v>2.433</v>
      </c>
      <c r="AA89" s="94">
        <v>0.1078</v>
      </c>
      <c r="AB89" s="76">
        <v>0.06474</v>
      </c>
      <c r="AD89" s="154" t="s">
        <v>111</v>
      </c>
      <c r="AE89" s="106">
        <f t="shared" si="52"/>
        <v>0.2142857142857143</v>
      </c>
      <c r="AF89" s="79">
        <f t="shared" si="53"/>
        <v>0.08258181818181819</v>
      </c>
      <c r="AG89" s="79">
        <f t="shared" si="54"/>
        <v>5.314444444444444</v>
      </c>
      <c r="AH89" s="79">
        <f t="shared" si="55"/>
        <v>142.07142857142858</v>
      </c>
      <c r="AI89" s="79">
        <f t="shared" si="56"/>
        <v>0.7142857142857143</v>
      </c>
      <c r="AJ89" s="79">
        <f t="shared" si="57"/>
        <v>2.361428571428571</v>
      </c>
      <c r="AK89" s="79">
        <f t="shared" si="58"/>
        <v>0.4838709677419355</v>
      </c>
      <c r="AL89" s="79">
        <f t="shared" si="59"/>
        <v>5.274358974358974</v>
      </c>
      <c r="AM89" s="79">
        <f t="shared" si="60"/>
        <v>17.285</v>
      </c>
      <c r="AN89" s="79">
        <f t="shared" si="61"/>
        <v>15.808333333333334</v>
      </c>
      <c r="AO89" s="79">
        <f t="shared" si="62"/>
        <v>78.60869565217392</v>
      </c>
      <c r="AP89" s="79">
        <f t="shared" si="63"/>
        <v>17.4875</v>
      </c>
      <c r="AQ89" s="79">
        <f t="shared" si="64"/>
        <v>39.65714285714286</v>
      </c>
      <c r="AR89" s="69">
        <f t="shared" si="34"/>
        <v>0.5272298614228232</v>
      </c>
      <c r="AS89" s="79">
        <f t="shared" si="65"/>
        <v>4.838709677419355</v>
      </c>
      <c r="AT89" s="79"/>
      <c r="AU89" s="79">
        <f t="shared" si="66"/>
        <v>0.06349206349206349</v>
      </c>
      <c r="AV89" s="79">
        <f t="shared" si="67"/>
        <v>0.08193846153846154</v>
      </c>
      <c r="AW89" s="106">
        <f t="shared" si="35"/>
        <v>7.7</v>
      </c>
      <c r="AX89" s="69">
        <f t="shared" si="36"/>
        <v>4.6242857142857146</v>
      </c>
      <c r="AY89" s="69"/>
      <c r="AZ89" s="69">
        <f t="shared" si="37"/>
        <v>3.0757142857142856</v>
      </c>
      <c r="BA89" s="111">
        <f t="shared" si="38"/>
        <v>117.69067367415194</v>
      </c>
      <c r="BB89" s="111">
        <f t="shared" si="39"/>
        <v>59.50607142857143</v>
      </c>
      <c r="BC89" s="25">
        <f t="shared" si="40"/>
        <v>32.83615746544899</v>
      </c>
      <c r="BD89" s="80">
        <f>(('[1]setup'!$B$13*'[1]setup'!$B$14*'[1]setup'!$B$15)/10^(-S89))*10^6</f>
        <v>22.490225170134604</v>
      </c>
      <c r="BE89" s="74">
        <f t="shared" si="41"/>
        <v>22.90129685646004</v>
      </c>
      <c r="BF89" s="75">
        <f t="shared" si="42"/>
        <v>58.184602245580514</v>
      </c>
      <c r="BG89" s="73">
        <f t="shared" si="43"/>
        <v>118.21790353557476</v>
      </c>
      <c r="BH89" s="73">
        <f t="shared" si="44"/>
        <v>104.89759345516607</v>
      </c>
      <c r="BI89" s="76">
        <f t="shared" si="45"/>
        <v>5.9701411421733175</v>
      </c>
      <c r="BJ89" s="59"/>
      <c r="BK89" s="81">
        <f>(3*('[1]setup'!$D$19*(10^-S89)^3)+2*('[1]setup'!$D$20*'[1]setup'!$D$19*((10^-S89)^2))+('[1]setup'!$D$21*'[1]setup'!$D$19*10^-S89)+('[1]setup'!$D$19*'[1]setup'!$D$22*(AP89/(10^6*2))*(10^-S89)^3))*10^6</f>
        <v>0.00068589843619035</v>
      </c>
      <c r="BL89" s="82">
        <f t="shared" si="46"/>
        <v>36.22229283530493</v>
      </c>
      <c r="BM89" s="75">
        <f>(BL89/((('[1]setup'!$C$26)/10^-S89)+2*(('[1]setup'!$C$26*'[1]setup'!$C$27)/(10^-S89^2))+3*(('[1]setup'!$C$26*'[1]setup'!$C$27*'[1]setup'!$C$28)/(10^-S89^3))))/(10^-S89^3/(10^-S89^3+'[1]setup'!$C$26*10^-S89^2+'[1]setup'!$C$26*'[1]setup'!$C$27*10^-S89+'[1]setup'!$C$26*'[1]setup'!$C$27*'[1]setup'!$C$28))</f>
        <v>15.203505010161031</v>
      </c>
      <c r="BN89" s="75"/>
      <c r="BO89" s="137">
        <f t="shared" si="47"/>
        <v>117.69067367415194</v>
      </c>
      <c r="BP89" s="137">
        <f t="shared" si="48"/>
        <v>59.50607142857143</v>
      </c>
      <c r="BQ89" s="137">
        <f t="shared" si="49"/>
        <v>1.9777926999503377</v>
      </c>
      <c r="BR89" s="137">
        <f t="shared" si="50"/>
        <v>57.4703165312948</v>
      </c>
      <c r="BS89" s="137">
        <f t="shared" si="51"/>
        <v>1.9822077433905527</v>
      </c>
    </row>
    <row r="90" spans="1:71" ht="12.75">
      <c r="A90" s="138">
        <v>40308</v>
      </c>
      <c r="B90" s="16">
        <v>17.25</v>
      </c>
      <c r="C90" s="15" t="s">
        <v>90</v>
      </c>
      <c r="D90" s="140">
        <v>1023070</v>
      </c>
      <c r="F90" s="164">
        <v>0.006</v>
      </c>
      <c r="G90" s="164">
        <v>0.002966</v>
      </c>
      <c r="H90" s="164">
        <v>0.03559</v>
      </c>
      <c r="I90" s="164">
        <v>2.082</v>
      </c>
      <c r="J90" s="167">
        <v>0.01</v>
      </c>
      <c r="K90" s="168">
        <v>0.03375</v>
      </c>
      <c r="L90" s="167">
        <v>0.006</v>
      </c>
      <c r="M90" s="164">
        <v>0.1</v>
      </c>
      <c r="N90" s="164">
        <v>0.5494</v>
      </c>
      <c r="O90" s="164">
        <v>0.2805</v>
      </c>
      <c r="P90" s="164">
        <v>2.646</v>
      </c>
      <c r="Q90" s="168">
        <v>0.5767</v>
      </c>
      <c r="R90" s="168">
        <v>2.701</v>
      </c>
      <c r="S90" s="145">
        <v>6.371</v>
      </c>
      <c r="T90" s="145">
        <v>18.1</v>
      </c>
      <c r="U90" s="145">
        <v>20.13</v>
      </c>
      <c r="V90" s="164">
        <v>0.05</v>
      </c>
      <c r="W90" s="9"/>
      <c r="X90" s="164">
        <v>0.002</v>
      </c>
      <c r="Y90" s="164">
        <v>0.002839</v>
      </c>
      <c r="Z90" s="156">
        <v>2.169</v>
      </c>
      <c r="AA90" s="156">
        <v>0.112</v>
      </c>
      <c r="AB90" s="76">
        <v>0.06825</v>
      </c>
      <c r="AD90" s="154" t="s">
        <v>111</v>
      </c>
      <c r="AE90" s="106">
        <f t="shared" si="52"/>
        <v>0.2142857142857143</v>
      </c>
      <c r="AF90" s="79">
        <f t="shared" si="53"/>
        <v>0.10785454545454545</v>
      </c>
      <c r="AG90" s="79">
        <f t="shared" si="54"/>
        <v>3.9544444444444435</v>
      </c>
      <c r="AH90" s="79">
        <f t="shared" si="55"/>
        <v>297.42857142857144</v>
      </c>
      <c r="AI90" s="79">
        <f t="shared" si="56"/>
        <v>0.7142857142857143</v>
      </c>
      <c r="AJ90" s="79">
        <f t="shared" si="57"/>
        <v>2.410714285714286</v>
      </c>
      <c r="AK90" s="79">
        <f t="shared" si="58"/>
        <v>0.5806451612903225</v>
      </c>
      <c r="AL90" s="79">
        <f t="shared" si="59"/>
        <v>2.5641025641025643</v>
      </c>
      <c r="AM90" s="79">
        <f t="shared" si="60"/>
        <v>27.470000000000002</v>
      </c>
      <c r="AN90" s="79">
        <f t="shared" si="61"/>
        <v>23.375000000000004</v>
      </c>
      <c r="AO90" s="79">
        <f t="shared" si="62"/>
        <v>115.04347826086956</v>
      </c>
      <c r="AP90" s="79">
        <f t="shared" si="63"/>
        <v>36.04375</v>
      </c>
      <c r="AQ90" s="79">
        <f t="shared" si="64"/>
        <v>77.17142857142858</v>
      </c>
      <c r="AR90" s="69">
        <f t="shared" si="34"/>
        <v>0.4255984131337426</v>
      </c>
      <c r="AS90" s="79">
        <f t="shared" si="65"/>
        <v>4.838709677419355</v>
      </c>
      <c r="AT90" s="79"/>
      <c r="AU90" s="79">
        <f t="shared" si="66"/>
        <v>0.06349206349206349</v>
      </c>
      <c r="AV90" s="79">
        <f t="shared" si="67"/>
        <v>0.08735384615384616</v>
      </c>
      <c r="AW90" s="106">
        <f t="shared" si="35"/>
        <v>8</v>
      </c>
      <c r="AX90" s="69">
        <f t="shared" si="36"/>
        <v>4.875</v>
      </c>
      <c r="AY90" s="69"/>
      <c r="AZ90" s="69">
        <f t="shared" si="37"/>
        <v>3.1250000000000004</v>
      </c>
      <c r="BA90" s="111">
        <f t="shared" si="38"/>
        <v>169.16686653925785</v>
      </c>
      <c r="BB90" s="111">
        <f t="shared" si="39"/>
        <v>115.62589285714287</v>
      </c>
      <c r="BC90" s="25">
        <f t="shared" si="40"/>
        <v>18.79997714674752</v>
      </c>
      <c r="BD90" s="80">
        <f>(('[1]setup'!$B$13*'[1]setup'!$B$14*'[1]setup'!$B$15)/10^(-S90))*10^6</f>
        <v>27.86081417106217</v>
      </c>
      <c r="BE90" s="74">
        <f t="shared" si="41"/>
        <v>20.560373182389178</v>
      </c>
      <c r="BF90" s="75">
        <f t="shared" si="42"/>
        <v>53.54097368211498</v>
      </c>
      <c r="BG90" s="73">
        <f t="shared" si="43"/>
        <v>169.5924649523916</v>
      </c>
      <c r="BH90" s="73">
        <f t="shared" si="44"/>
        <v>164.04708021059423</v>
      </c>
      <c r="BI90" s="76">
        <f t="shared" si="45"/>
        <v>1.6620885689939406</v>
      </c>
      <c r="BJ90" s="59"/>
      <c r="BK90" s="81">
        <f>(3*('[1]setup'!$D$19*(10^-S90)^3)+2*('[1]setup'!$D$20*'[1]setup'!$D$19*((10^-S90)^2))+('[1]setup'!$D$21*'[1]setup'!$D$19*10^-S90)+('[1]setup'!$D$19*'[1]setup'!$D$22*(AP90/(10^6*2))*(10^-S90)^3))*10^6</f>
        <v>0.0005134409790139378</v>
      </c>
      <c r="BL90" s="82">
        <f t="shared" si="46"/>
        <v>26.106271365165554</v>
      </c>
      <c r="BM90" s="75">
        <f>(BL90/((('[1]setup'!$C$26)/10^-S90)+2*(('[1]setup'!$C$26*'[1]setup'!$C$27)/(10^-S90^2))+3*(('[1]setup'!$C$26*'[1]setup'!$C$27*'[1]setup'!$C$28)/(10^-S90^3))))/(10^-S90^3/(10^-S90^3+'[1]setup'!$C$26*10^-S90^2+'[1]setup'!$C$26*'[1]setup'!$C$27*10^-S90+'[1]setup'!$C$26*'[1]setup'!$C$27*'[1]setup'!$C$28))</f>
        <v>10.7079632784102</v>
      </c>
      <c r="BN90" s="75"/>
      <c r="BO90" s="137">
        <f t="shared" si="47"/>
        <v>169.16686653925785</v>
      </c>
      <c r="BP90" s="137">
        <f t="shared" si="48"/>
        <v>115.62589285714287</v>
      </c>
      <c r="BQ90" s="137">
        <f t="shared" si="49"/>
        <v>1.4630534939805002</v>
      </c>
      <c r="BR90" s="137">
        <f t="shared" si="50"/>
        <v>52.82668796782926</v>
      </c>
      <c r="BS90" s="137">
        <f t="shared" si="51"/>
        <v>1.490752217375207</v>
      </c>
    </row>
    <row r="91" spans="1:71" ht="12.75">
      <c r="A91" s="138">
        <v>40322</v>
      </c>
      <c r="B91" s="16">
        <v>16.15</v>
      </c>
      <c r="C91" s="15" t="s">
        <v>90</v>
      </c>
      <c r="D91" s="140">
        <v>1024029</v>
      </c>
      <c r="F91" s="164">
        <v>0.006</v>
      </c>
      <c r="G91" s="164">
        <v>0.002</v>
      </c>
      <c r="H91" s="164">
        <v>0.02298</v>
      </c>
      <c r="I91" s="164">
        <v>1.84</v>
      </c>
      <c r="J91" s="169">
        <v>0.01</v>
      </c>
      <c r="K91" s="168">
        <v>0.025475</v>
      </c>
      <c r="L91" s="170">
        <v>0.005</v>
      </c>
      <c r="M91" s="164">
        <v>0.1</v>
      </c>
      <c r="N91" s="164">
        <v>0.5607</v>
      </c>
      <c r="O91" s="164">
        <v>0.2712</v>
      </c>
      <c r="P91" s="164">
        <v>2.507</v>
      </c>
      <c r="Q91" s="168">
        <v>0.5001</v>
      </c>
      <c r="R91" s="168">
        <v>2.388</v>
      </c>
      <c r="S91" s="9">
        <v>6.565</v>
      </c>
      <c r="T91" s="9">
        <v>17.3</v>
      </c>
      <c r="U91" s="9">
        <v>19.69</v>
      </c>
      <c r="V91" s="164">
        <v>0.05</v>
      </c>
      <c r="W91" s="164"/>
      <c r="X91" s="164">
        <v>0.002</v>
      </c>
      <c r="Y91" s="164">
        <v>0.002</v>
      </c>
      <c r="Z91" s="156">
        <v>1.601</v>
      </c>
      <c r="AA91" s="155">
        <v>0.01</v>
      </c>
      <c r="AB91" s="76">
        <v>-0.025474999999999998</v>
      </c>
      <c r="AD91" s="157" t="s">
        <v>111</v>
      </c>
      <c r="AE91" s="106">
        <f t="shared" si="52"/>
        <v>0.2142857142857143</v>
      </c>
      <c r="AF91" s="79">
        <f t="shared" si="53"/>
        <v>0.07272727272727272</v>
      </c>
      <c r="AG91" s="79">
        <f t="shared" si="54"/>
        <v>2.5533333333333332</v>
      </c>
      <c r="AH91" s="79">
        <f t="shared" si="55"/>
        <v>262.85714285714283</v>
      </c>
      <c r="AI91" s="79">
        <f t="shared" si="56"/>
        <v>0.7142857142857143</v>
      </c>
      <c r="AJ91" s="79">
        <f t="shared" si="57"/>
        <v>1.8196428571428571</v>
      </c>
      <c r="AK91" s="79">
        <f t="shared" si="58"/>
        <v>0.4838709677419355</v>
      </c>
      <c r="AL91" s="79">
        <f t="shared" si="59"/>
        <v>2.5641025641025643</v>
      </c>
      <c r="AM91" s="79">
        <f t="shared" si="60"/>
        <v>28.034999999999997</v>
      </c>
      <c r="AN91" s="79">
        <f t="shared" si="61"/>
        <v>22.599999999999998</v>
      </c>
      <c r="AO91" s="79">
        <f t="shared" si="62"/>
        <v>109</v>
      </c>
      <c r="AP91" s="79">
        <f t="shared" si="63"/>
        <v>31.256249999999998</v>
      </c>
      <c r="AQ91" s="79">
        <f t="shared" si="64"/>
        <v>68.22857142857143</v>
      </c>
      <c r="AR91" s="69">
        <f t="shared" si="34"/>
        <v>0.27227013080779094</v>
      </c>
      <c r="AS91" s="79">
        <f t="shared" si="65"/>
        <v>4.838709677419355</v>
      </c>
      <c r="AT91" s="79"/>
      <c r="AU91" s="79">
        <f t="shared" si="66"/>
        <v>0.06349206349206349</v>
      </c>
      <c r="AV91" s="79">
        <f t="shared" si="67"/>
        <v>0.061538461538461535</v>
      </c>
      <c r="AW91" s="106">
        <f t="shared" si="35"/>
        <v>0.7142857142857143</v>
      </c>
      <c r="AX91" s="69">
        <f t="shared" si="36"/>
        <v>-1.819642857142857</v>
      </c>
      <c r="AY91" s="69"/>
      <c r="AZ91" s="69">
        <f t="shared" si="37"/>
        <v>2.5339285714285715</v>
      </c>
      <c r="BA91" s="111">
        <f t="shared" si="38"/>
        <v>162.91338827838828</v>
      </c>
      <c r="BB91" s="111">
        <f t="shared" si="39"/>
        <v>101.30446428571429</v>
      </c>
      <c r="BC91" s="25">
        <f t="shared" si="40"/>
        <v>23.317472076466476</v>
      </c>
      <c r="BD91" s="80">
        <f>(('[1]setup'!$B$13*'[1]setup'!$B$14*'[1]setup'!$B$15)/10^(-S91))*10^6</f>
        <v>43.55056599355357</v>
      </c>
      <c r="BE91" s="74">
        <f t="shared" si="41"/>
        <v>15.365565513104265</v>
      </c>
      <c r="BF91" s="75">
        <f t="shared" si="42"/>
        <v>61.60892399267401</v>
      </c>
      <c r="BG91" s="73">
        <f t="shared" si="43"/>
        <v>163.18565840919607</v>
      </c>
      <c r="BH91" s="73">
        <f t="shared" si="44"/>
        <v>160.2205957923721</v>
      </c>
      <c r="BI91" s="76">
        <f t="shared" si="45"/>
        <v>0.916822905649788</v>
      </c>
      <c r="BJ91" s="59"/>
      <c r="BK91" s="81">
        <f>(3*('[1]setup'!$D$19*(10^-S91)^3)+2*('[1]setup'!$D$20*'[1]setup'!$D$19*((10^-S91)^2))+('[1]setup'!$D$21*'[1]setup'!$D$19*10^-S91)+('[1]setup'!$D$19*'[1]setup'!$D$22*(AP91/(10^6*2))*(10^-S91)^3))*10^6</f>
        <v>0.0002927452882036884</v>
      </c>
      <c r="BL91" s="82">
        <f t="shared" si="46"/>
        <v>18.330920875216407</v>
      </c>
      <c r="BM91" s="75">
        <f>(BL91/((('[1]setup'!$C$26)/10^-S91)+2*(('[1]setup'!$C$26*'[1]setup'!$C$27)/(10^-S91^2))+3*(('[1]setup'!$C$26*'[1]setup'!$C$27*'[1]setup'!$C$28)/(10^-S91^3))))/(10^-S91^3/(10^-S91^3+'[1]setup'!$C$26*10^-S91^2+'[1]setup'!$C$26*'[1]setup'!$C$27*10^-S91+'[1]setup'!$C$26*'[1]setup'!$C$27*'[1]setup'!$C$28))</f>
        <v>7.176987984826003</v>
      </c>
      <c r="BN91" s="75"/>
      <c r="BO91" s="137">
        <f t="shared" si="47"/>
        <v>162.91338827838825</v>
      </c>
      <c r="BP91" s="137">
        <f t="shared" si="48"/>
        <v>101.30446428571429</v>
      </c>
      <c r="BQ91" s="137">
        <f t="shared" si="49"/>
        <v>1.6081560613056014</v>
      </c>
      <c r="BR91" s="137">
        <f t="shared" si="50"/>
        <v>60.89463827838827</v>
      </c>
      <c r="BS91" s="137">
        <f t="shared" si="51"/>
        <v>1.597571189279732</v>
      </c>
    </row>
    <row r="92" spans="1:71" ht="12.75">
      <c r="A92" s="138">
        <v>40336</v>
      </c>
      <c r="B92" s="16">
        <v>16.2</v>
      </c>
      <c r="C92" s="15" t="s">
        <v>90</v>
      </c>
      <c r="D92" s="140">
        <v>1026811</v>
      </c>
      <c r="F92" s="9">
        <v>0.08756</v>
      </c>
      <c r="G92" s="9">
        <v>0.007242</v>
      </c>
      <c r="H92" s="9">
        <v>0.1564</v>
      </c>
      <c r="I92" s="9">
        <v>0.7888</v>
      </c>
      <c r="J92" s="152">
        <v>0.011</v>
      </c>
      <c r="K92" s="165">
        <v>0.025507</v>
      </c>
      <c r="L92" s="152">
        <v>0.005</v>
      </c>
      <c r="M92" s="9">
        <v>0.3877</v>
      </c>
      <c r="N92" s="9">
        <v>0.7779</v>
      </c>
      <c r="O92" s="9">
        <v>0.4342</v>
      </c>
      <c r="P92" s="9">
        <v>2.247</v>
      </c>
      <c r="Q92" s="165">
        <v>0.1885</v>
      </c>
      <c r="R92" s="165">
        <v>2.348</v>
      </c>
      <c r="S92" s="9">
        <v>5.01</v>
      </c>
      <c r="T92" s="9">
        <v>17.8</v>
      </c>
      <c r="U92" s="9">
        <v>22.79</v>
      </c>
      <c r="V92" s="9">
        <v>0.05</v>
      </c>
      <c r="W92" s="9"/>
      <c r="X92" s="9">
        <v>0.002498</v>
      </c>
      <c r="Y92" s="9">
        <v>0.003061</v>
      </c>
      <c r="Z92" s="94">
        <v>14.62</v>
      </c>
      <c r="AA92" s="94">
        <v>0.3301</v>
      </c>
      <c r="AB92" s="76">
        <v>0.293593</v>
      </c>
      <c r="AD92" s="158" t="s">
        <v>111</v>
      </c>
      <c r="AE92" s="106">
        <f t="shared" si="52"/>
        <v>3.127142857142857</v>
      </c>
      <c r="AF92" s="79">
        <f t="shared" si="53"/>
        <v>0.26334545454545455</v>
      </c>
      <c r="AG92" s="79">
        <f t="shared" si="54"/>
        <v>17.37777777777778</v>
      </c>
      <c r="AH92" s="79">
        <f t="shared" si="55"/>
        <v>112.68571428571428</v>
      </c>
      <c r="AI92" s="79">
        <f t="shared" si="56"/>
        <v>0.7857142857142856</v>
      </c>
      <c r="AJ92" s="79">
        <f t="shared" si="57"/>
        <v>1.8219285714285713</v>
      </c>
      <c r="AK92" s="79">
        <f t="shared" si="58"/>
        <v>0.4838709677419355</v>
      </c>
      <c r="AL92" s="79">
        <f t="shared" si="59"/>
        <v>9.941025641025641</v>
      </c>
      <c r="AM92" s="79">
        <f t="shared" si="60"/>
        <v>38.894999999999996</v>
      </c>
      <c r="AN92" s="79">
        <f t="shared" si="61"/>
        <v>36.18333333333333</v>
      </c>
      <c r="AO92" s="79">
        <f t="shared" si="62"/>
        <v>97.69565217391305</v>
      </c>
      <c r="AP92" s="79">
        <f t="shared" si="63"/>
        <v>11.78125</v>
      </c>
      <c r="AQ92" s="79">
        <f t="shared" si="64"/>
        <v>67.08571428571427</v>
      </c>
      <c r="AR92" s="69">
        <f t="shared" si="34"/>
        <v>9.772372209558114</v>
      </c>
      <c r="AS92" s="79">
        <f t="shared" si="65"/>
        <v>4.838709677419355</v>
      </c>
      <c r="AT92" s="79"/>
      <c r="AU92" s="79">
        <f t="shared" si="66"/>
        <v>0.07930158730158729</v>
      </c>
      <c r="AV92" s="79">
        <f t="shared" si="67"/>
        <v>0.09418461538461538</v>
      </c>
      <c r="AW92" s="106">
        <f t="shared" si="35"/>
        <v>23.57857142857143</v>
      </c>
      <c r="AX92" s="69">
        <f t="shared" si="36"/>
        <v>20.970928571428573</v>
      </c>
      <c r="AY92" s="69"/>
      <c r="AZ92" s="69">
        <f t="shared" si="37"/>
        <v>2.607642857142857</v>
      </c>
      <c r="BA92" s="111">
        <f t="shared" si="38"/>
        <v>183.5007254339863</v>
      </c>
      <c r="BB92" s="111">
        <f t="shared" si="39"/>
        <v>80.68889285714285</v>
      </c>
      <c r="BC92" s="25">
        <f t="shared" si="40"/>
        <v>38.91592457033942</v>
      </c>
      <c r="BD92" s="80">
        <f>(('[1]setup'!$B$13*'[1]setup'!$B$14*'[1]setup'!$B$15)/10^(-S92))*10^6</f>
        <v>1.2133715382044703</v>
      </c>
      <c r="BE92" s="74">
        <f t="shared" si="41"/>
        <v>112.28343926804479</v>
      </c>
      <c r="BF92" s="75">
        <f t="shared" si="42"/>
        <v>102.81183257684346</v>
      </c>
      <c r="BG92" s="73">
        <f t="shared" si="43"/>
        <v>193.27309764354442</v>
      </c>
      <c r="BH92" s="73">
        <f t="shared" si="44"/>
        <v>194.1857036633921</v>
      </c>
      <c r="BI92" s="76">
        <f t="shared" si="45"/>
        <v>0.2355362729584092</v>
      </c>
      <c r="BJ92" s="59"/>
      <c r="BK92" s="81">
        <f>(3*('[1]setup'!$D$19*(10^-S92)^3)+2*('[1]setup'!$D$20*'[1]setup'!$D$19*((10^-S92)^2))+('[1]setup'!$D$21*'[1]setup'!$D$19*10^-S92)+('[1]setup'!$D$19*'[1]setup'!$D$22*(AP92/(10^6*2))*(10^-S92)^3))*10^6</f>
        <v>0.35061707023269956</v>
      </c>
      <c r="BL92" s="82">
        <f t="shared" si="46"/>
        <v>111.72145031842979</v>
      </c>
      <c r="BM92" s="75">
        <f>(BL92/((('[1]setup'!$C$26)/10^-S92)+2*(('[1]setup'!$C$26*'[1]setup'!$C$27)/(10^-S92^2))+3*(('[1]setup'!$C$26*'[1]setup'!$C$27*'[1]setup'!$C$28)/(10^-S92^3))))/(10^-S92^3/(10^-S92^3+'[1]setup'!$C$26*10^-S92^2+'[1]setup'!$C$26*'[1]setup'!$C$27*10^-S92+'[1]setup'!$C$26*'[1]setup'!$C$27*'[1]setup'!$C$28))</f>
        <v>62.49029038673509</v>
      </c>
      <c r="BN92" s="75"/>
      <c r="BO92" s="137">
        <f t="shared" si="47"/>
        <v>183.5007254339863</v>
      </c>
      <c r="BP92" s="137">
        <f t="shared" si="48"/>
        <v>80.68889285714285</v>
      </c>
      <c r="BQ92" s="137">
        <f t="shared" si="49"/>
        <v>2.274175774835188</v>
      </c>
      <c r="BR92" s="137">
        <f t="shared" si="50"/>
        <v>102.02611829112918</v>
      </c>
      <c r="BS92" s="137">
        <f t="shared" si="51"/>
        <v>1.456281016221021</v>
      </c>
    </row>
    <row r="93" spans="1:71" ht="12.75">
      <c r="A93" s="110">
        <v>40364</v>
      </c>
      <c r="B93" s="16">
        <v>14.5</v>
      </c>
      <c r="C93" s="15" t="s">
        <v>90</v>
      </c>
      <c r="D93" s="140">
        <v>1030523</v>
      </c>
      <c r="F93" s="9">
        <v>0.04081</v>
      </c>
      <c r="G93" s="9">
        <v>0.002285</v>
      </c>
      <c r="H93" s="9">
        <v>0.03402</v>
      </c>
      <c r="I93" s="9">
        <v>2.413</v>
      </c>
      <c r="J93" s="152">
        <v>0.011</v>
      </c>
      <c r="K93" s="165">
        <v>0.0255496</v>
      </c>
      <c r="L93" s="152">
        <v>0.005</v>
      </c>
      <c r="M93" s="9">
        <v>0.2868</v>
      </c>
      <c r="N93" s="9">
        <v>0.8921</v>
      </c>
      <c r="O93" s="9">
        <v>0.4141</v>
      </c>
      <c r="P93" s="9">
        <v>3.797</v>
      </c>
      <c r="Q93" s="165">
        <v>0.6003</v>
      </c>
      <c r="R93" s="165">
        <v>3.03</v>
      </c>
      <c r="S93" s="9">
        <v>6.571</v>
      </c>
      <c r="T93" s="9">
        <v>16.6</v>
      </c>
      <c r="U93" s="9">
        <v>23.52</v>
      </c>
      <c r="V93" s="9">
        <v>0.05</v>
      </c>
      <c r="W93" s="9"/>
      <c r="X93" s="9">
        <v>0.002229</v>
      </c>
      <c r="Y93" s="9">
        <v>0.002524</v>
      </c>
      <c r="Z93" s="94">
        <v>2.208</v>
      </c>
      <c r="AA93" s="94">
        <v>0.2202</v>
      </c>
      <c r="AB93" s="76">
        <v>0.1836504</v>
      </c>
      <c r="AD93" s="143">
        <v>0.1089</v>
      </c>
      <c r="AE93" s="106">
        <f t="shared" si="52"/>
        <v>1.4575</v>
      </c>
      <c r="AF93" s="79">
        <f t="shared" si="53"/>
        <v>0.0830909090909091</v>
      </c>
      <c r="AG93" s="79">
        <f t="shared" si="54"/>
        <v>3.7800000000000002</v>
      </c>
      <c r="AH93" s="79">
        <f t="shared" si="55"/>
        <v>344.7142857142857</v>
      </c>
      <c r="AI93" s="79">
        <f t="shared" si="56"/>
        <v>0.7857142857142856</v>
      </c>
      <c r="AJ93" s="79">
        <f t="shared" si="57"/>
        <v>1.8249714285714285</v>
      </c>
      <c r="AK93" s="79">
        <f t="shared" si="58"/>
        <v>0.4838709677419355</v>
      </c>
      <c r="AL93" s="79">
        <f t="shared" si="59"/>
        <v>7.3538461538461535</v>
      </c>
      <c r="AM93" s="79">
        <f t="shared" si="60"/>
        <v>44.605</v>
      </c>
      <c r="AN93" s="79">
        <f t="shared" si="61"/>
        <v>34.50833333333333</v>
      </c>
      <c r="AO93" s="79">
        <f t="shared" si="62"/>
        <v>165.08695652173913</v>
      </c>
      <c r="AP93" s="79">
        <f t="shared" si="63"/>
        <v>37.51875</v>
      </c>
      <c r="AQ93" s="79">
        <f t="shared" si="64"/>
        <v>86.57142857142857</v>
      </c>
      <c r="AR93" s="69">
        <f t="shared" si="34"/>
        <v>0.26853444456585085</v>
      </c>
      <c r="AS93" s="79">
        <f t="shared" si="65"/>
        <v>4.838709677419355</v>
      </c>
      <c r="AT93" s="79"/>
      <c r="AU93" s="79">
        <f t="shared" si="66"/>
        <v>0.07076190476190478</v>
      </c>
      <c r="AV93" s="79">
        <f t="shared" si="67"/>
        <v>0.07766153846153848</v>
      </c>
      <c r="AW93" s="106">
        <f t="shared" si="35"/>
        <v>15.728571428571428</v>
      </c>
      <c r="AX93" s="69">
        <f t="shared" si="36"/>
        <v>13.117885714285713</v>
      </c>
      <c r="AY93" s="69"/>
      <c r="AZ93" s="69">
        <f t="shared" si="37"/>
        <v>2.6106857142857143</v>
      </c>
      <c r="BA93" s="111">
        <f t="shared" si="38"/>
        <v>252.3398502946329</v>
      </c>
      <c r="BB93" s="111">
        <f t="shared" si="39"/>
        <v>125.91515</v>
      </c>
      <c r="BC93" s="25">
        <f t="shared" si="40"/>
        <v>33.423140525877336</v>
      </c>
      <c r="BD93" s="80">
        <f>(('[1]setup'!$B$13*'[1]setup'!$B$14*'[1]setup'!$B$15)/10^(-S93))*10^6</f>
        <v>44.15641471614048</v>
      </c>
      <c r="BE93" s="74">
        <f t="shared" si="41"/>
        <v>21.19842357711207</v>
      </c>
      <c r="BF93" s="75">
        <f t="shared" si="42"/>
        <v>126.4247002946329</v>
      </c>
      <c r="BG93" s="73">
        <f t="shared" si="43"/>
        <v>252.60838473919875</v>
      </c>
      <c r="BH93" s="73">
        <f t="shared" si="44"/>
        <v>191.26998829325257</v>
      </c>
      <c r="BI93" s="76">
        <f t="shared" si="45"/>
        <v>13.8187395855535</v>
      </c>
      <c r="BJ93" s="59"/>
      <c r="BK93" s="81">
        <f>(3*('[1]setup'!$D$19*(10^-S93)^3)+2*('[1]setup'!$D$20*'[1]setup'!$D$19*((10^-S93)^2))+('[1]setup'!$D$21*'[1]setup'!$D$19*10^-S93)+('[1]setup'!$D$19*'[1]setup'!$D$22*(AP93/(10^6*2))*(10^-S93)^3))*10^6</f>
        <v>0.00028792305765048187</v>
      </c>
      <c r="BL93" s="82">
        <f t="shared" si="46"/>
        <v>82.53710794611592</v>
      </c>
      <c r="BM93" s="75">
        <f>(BL93/((('[1]setup'!$C$26)/10^-S93)+2*(('[1]setup'!$C$26*'[1]setup'!$C$27)/(10^-S93^2))+3*(('[1]setup'!$C$26*'[1]setup'!$C$27*'[1]setup'!$C$28)/(10^-S93^3))))/(10^-S93^3/(10^-S93^3+'[1]setup'!$C$26*10^-S93^2+'[1]setup'!$C$26*'[1]setup'!$C$27*10^-S93+'[1]setup'!$C$26*'[1]setup'!$C$27*'[1]setup'!$C$28))</f>
        <v>32.27079680625344</v>
      </c>
      <c r="BN93" s="75"/>
      <c r="BO93" s="137">
        <f t="shared" si="47"/>
        <v>252.3398502946329</v>
      </c>
      <c r="BP93" s="137">
        <f t="shared" si="48"/>
        <v>125.91515</v>
      </c>
      <c r="BQ93" s="137">
        <f t="shared" si="49"/>
        <v>2.004046775107149</v>
      </c>
      <c r="BR93" s="137">
        <f t="shared" si="50"/>
        <v>125.63898600891862</v>
      </c>
      <c r="BS93" s="137">
        <f t="shared" si="51"/>
        <v>1.90694504233032</v>
      </c>
    </row>
    <row r="94" spans="1:71" ht="12.75">
      <c r="A94" s="110">
        <v>40399</v>
      </c>
      <c r="B94" s="16">
        <v>16.2</v>
      </c>
      <c r="C94" s="15" t="s">
        <v>90</v>
      </c>
      <c r="D94" s="140">
        <v>1035958</v>
      </c>
      <c r="F94" s="9">
        <v>0.1015</v>
      </c>
      <c r="G94" s="9">
        <v>0.00506</v>
      </c>
      <c r="H94" s="9">
        <v>0.1196</v>
      </c>
      <c r="I94" s="9">
        <v>0.9466</v>
      </c>
      <c r="J94" s="152">
        <v>0.01</v>
      </c>
      <c r="K94" s="165">
        <v>0.025891</v>
      </c>
      <c r="L94" s="152">
        <v>0.005</v>
      </c>
      <c r="M94" s="9">
        <v>0.1</v>
      </c>
      <c r="N94" s="9">
        <v>0.5014</v>
      </c>
      <c r="O94" s="9">
        <v>0.3058</v>
      </c>
      <c r="P94" s="9">
        <v>2.374</v>
      </c>
      <c r="Q94" s="165">
        <v>0.2642</v>
      </c>
      <c r="R94" s="165">
        <v>1.445</v>
      </c>
      <c r="S94" s="9">
        <v>4.933</v>
      </c>
      <c r="T94" s="9">
        <v>17.2</v>
      </c>
      <c r="U94" s="9">
        <v>18.81</v>
      </c>
      <c r="V94" s="9">
        <v>0.05</v>
      </c>
      <c r="W94" s="9"/>
      <c r="X94" s="9">
        <v>0.002228</v>
      </c>
      <c r="Y94" s="9">
        <v>0.002323</v>
      </c>
      <c r="Z94" s="94">
        <v>11.47</v>
      </c>
      <c r="AA94" s="94">
        <v>0.265</v>
      </c>
      <c r="AB94" s="76">
        <v>0.229109</v>
      </c>
      <c r="AD94" s="143">
        <v>0.03379</v>
      </c>
      <c r="AE94" s="106">
        <f t="shared" si="52"/>
        <v>3.625</v>
      </c>
      <c r="AF94" s="79">
        <f t="shared" si="53"/>
        <v>0.184</v>
      </c>
      <c r="AG94" s="79">
        <f t="shared" si="54"/>
        <v>13.288888888888888</v>
      </c>
      <c r="AH94" s="79">
        <f t="shared" si="55"/>
        <v>135.22857142857143</v>
      </c>
      <c r="AI94" s="79">
        <f t="shared" si="56"/>
        <v>0.7142857142857143</v>
      </c>
      <c r="AJ94" s="79">
        <f t="shared" si="57"/>
        <v>1.849357142857143</v>
      </c>
      <c r="AK94" s="79">
        <f t="shared" si="58"/>
        <v>0.4838709677419355</v>
      </c>
      <c r="AL94" s="79">
        <f t="shared" si="59"/>
        <v>2.5641025641025643</v>
      </c>
      <c r="AM94" s="79">
        <f t="shared" si="60"/>
        <v>25.07</v>
      </c>
      <c r="AN94" s="79">
        <f t="shared" si="61"/>
        <v>25.483333333333334</v>
      </c>
      <c r="AO94" s="79">
        <f t="shared" si="62"/>
        <v>103.21739130434783</v>
      </c>
      <c r="AP94" s="79">
        <f t="shared" si="63"/>
        <v>16.5125</v>
      </c>
      <c r="AQ94" s="79">
        <f t="shared" si="64"/>
        <v>41.285714285714285</v>
      </c>
      <c r="AR94" s="69">
        <f t="shared" si="34"/>
        <v>11.668096170609632</v>
      </c>
      <c r="AS94" s="79">
        <f t="shared" si="65"/>
        <v>4.838709677419355</v>
      </c>
      <c r="AT94" s="79"/>
      <c r="AU94" s="79">
        <f t="shared" si="66"/>
        <v>0.07073015873015873</v>
      </c>
      <c r="AV94" s="79">
        <f t="shared" si="67"/>
        <v>0.07147692307692308</v>
      </c>
      <c r="AW94" s="106">
        <f t="shared" si="35"/>
        <v>18.92857142857143</v>
      </c>
      <c r="AX94" s="69">
        <f t="shared" si="36"/>
        <v>16.36492857142857</v>
      </c>
      <c r="AY94" s="69"/>
      <c r="AZ94" s="69">
        <f t="shared" si="37"/>
        <v>2.5636428571428573</v>
      </c>
      <c r="BA94" s="111">
        <f t="shared" si="38"/>
        <v>157.04911291606945</v>
      </c>
      <c r="BB94" s="111">
        <f t="shared" si="39"/>
        <v>59.647571428571425</v>
      </c>
      <c r="BC94" s="25">
        <f t="shared" si="40"/>
        <v>44.94833032728259</v>
      </c>
      <c r="BD94" s="80">
        <f>(('[1]setup'!$B$13*'[1]setup'!$B$14*'[1]setup'!$B$15)/10^(-S94))*10^6</f>
        <v>1.0162341933455825</v>
      </c>
      <c r="BE94" s="74">
        <f t="shared" si="41"/>
        <v>86.28290458223461</v>
      </c>
      <c r="BF94" s="75">
        <f t="shared" si="42"/>
        <v>97.40154148749802</v>
      </c>
      <c r="BG94" s="73">
        <f t="shared" si="43"/>
        <v>168.71720908667905</v>
      </c>
      <c r="BH94" s="73">
        <f t="shared" si="44"/>
        <v>146.94671020415163</v>
      </c>
      <c r="BI94" s="76">
        <f t="shared" si="45"/>
        <v>6.896733377522822</v>
      </c>
      <c r="BJ94" s="59"/>
      <c r="BK94" s="81">
        <f>(3*('[1]setup'!$D$19*(10^-S94)^3)+2*('[1]setup'!$D$20*'[1]setup'!$D$19*((10^-S94)^2))+('[1]setup'!$D$21*'[1]setup'!$D$19*10^-S94)+('[1]setup'!$D$19*'[1]setup'!$D$22*(AP94/(10^6*2))*(10^-S94)^3))*10^6</f>
        <v>0.575722951995676</v>
      </c>
      <c r="BL94" s="82">
        <f t="shared" si="46"/>
        <v>108.62912641675773</v>
      </c>
      <c r="BM94" s="75">
        <f>(BL94/((('[1]setup'!$C$26)/10^-S94)+2*(('[1]setup'!$C$26*'[1]setup'!$C$27)/(10^-S94^2))+3*(('[1]setup'!$C$26*'[1]setup'!$C$27*'[1]setup'!$C$28)/(10^-S94^3))))/(10^-S94^3/(10^-S94^3+'[1]setup'!$C$26*10^-S94^2+'[1]setup'!$C$26*'[1]setup'!$C$27*10^-S94+'[1]setup'!$C$26*'[1]setup'!$C$27*'[1]setup'!$C$28))</f>
        <v>62.18669570173907</v>
      </c>
      <c r="BN94" s="75"/>
      <c r="BO94" s="137">
        <f t="shared" si="47"/>
        <v>157.04911291606945</v>
      </c>
      <c r="BP94" s="137">
        <f t="shared" si="48"/>
        <v>59.647571428571425</v>
      </c>
      <c r="BQ94" s="137">
        <f t="shared" si="49"/>
        <v>2.632950665965292</v>
      </c>
      <c r="BR94" s="137">
        <f t="shared" si="50"/>
        <v>96.6872557732123</v>
      </c>
      <c r="BS94" s="137">
        <f t="shared" si="51"/>
        <v>2.500075221904619</v>
      </c>
    </row>
    <row r="95" spans="1:71" ht="12.75">
      <c r="A95" s="110">
        <v>40423</v>
      </c>
      <c r="B95" s="16">
        <v>14.4</v>
      </c>
      <c r="C95" s="15" t="s">
        <v>90</v>
      </c>
      <c r="D95" s="140">
        <v>1038485</v>
      </c>
      <c r="F95" s="9">
        <v>0.006</v>
      </c>
      <c r="G95" s="9">
        <v>0.002521</v>
      </c>
      <c r="H95" s="9">
        <v>0.05446</v>
      </c>
      <c r="I95" s="9">
        <v>2.183</v>
      </c>
      <c r="J95" s="9">
        <v>0.026</v>
      </c>
      <c r="K95" s="165">
        <v>0.0255</v>
      </c>
      <c r="L95" s="9">
        <v>0.005</v>
      </c>
      <c r="M95" s="9">
        <v>0.2321</v>
      </c>
      <c r="N95" s="9">
        <v>0.8756</v>
      </c>
      <c r="O95" s="9">
        <v>0.4292</v>
      </c>
      <c r="P95" s="9">
        <v>4.116</v>
      </c>
      <c r="Q95" s="165">
        <v>0.574</v>
      </c>
      <c r="R95" s="165">
        <v>2.349</v>
      </c>
      <c r="S95" s="9">
        <v>6.621</v>
      </c>
      <c r="T95" s="9">
        <v>19.8</v>
      </c>
      <c r="U95" s="9">
        <v>21.01</v>
      </c>
      <c r="V95" s="9">
        <v>0.05</v>
      </c>
      <c r="W95" s="9"/>
      <c r="X95" s="9">
        <v>0.002</v>
      </c>
      <c r="Y95" s="9">
        <v>0.002056</v>
      </c>
      <c r="Z95" s="159">
        <v>2.41</v>
      </c>
      <c r="AA95" s="159">
        <v>0.1426</v>
      </c>
      <c r="AB95" s="76">
        <v>0.09110000000000001</v>
      </c>
      <c r="AD95" s="143">
        <v>0.09094</v>
      </c>
      <c r="AE95" s="106">
        <f t="shared" si="52"/>
        <v>0.2142857142857143</v>
      </c>
      <c r="AF95" s="79">
        <f t="shared" si="53"/>
        <v>0.09167272727272727</v>
      </c>
      <c r="AG95" s="79">
        <f t="shared" si="54"/>
        <v>6.051111111111111</v>
      </c>
      <c r="AH95" s="79">
        <f t="shared" si="55"/>
        <v>311.85714285714283</v>
      </c>
      <c r="AI95" s="79">
        <f t="shared" si="56"/>
        <v>1.8571428571428572</v>
      </c>
      <c r="AJ95" s="79">
        <f t="shared" si="57"/>
        <v>1.8214285714285712</v>
      </c>
      <c r="AK95" s="79">
        <f t="shared" si="58"/>
        <v>0.4838709677419355</v>
      </c>
      <c r="AL95" s="79">
        <f t="shared" si="59"/>
        <v>5.9512820512820515</v>
      </c>
      <c r="AM95" s="79">
        <f t="shared" si="60"/>
        <v>43.78</v>
      </c>
      <c r="AN95" s="79">
        <f t="shared" si="61"/>
        <v>35.766666666666666</v>
      </c>
      <c r="AO95" s="79">
        <f t="shared" si="62"/>
        <v>178.95652173913044</v>
      </c>
      <c r="AP95" s="79">
        <f t="shared" si="63"/>
        <v>35.875</v>
      </c>
      <c r="AQ95" s="79">
        <f t="shared" si="64"/>
        <v>67.11428571428573</v>
      </c>
      <c r="AR95" s="69">
        <f t="shared" si="34"/>
        <v>0.23933157564053845</v>
      </c>
      <c r="AS95" s="79">
        <f t="shared" si="65"/>
        <v>4.838709677419355</v>
      </c>
      <c r="AT95" s="79"/>
      <c r="AU95" s="79">
        <f t="shared" si="66"/>
        <v>0.06349206349206349</v>
      </c>
      <c r="AV95" s="79">
        <f t="shared" si="67"/>
        <v>0.06326153846153847</v>
      </c>
      <c r="AW95" s="106">
        <f t="shared" si="35"/>
        <v>10.185714285714285</v>
      </c>
      <c r="AX95" s="69">
        <f t="shared" si="36"/>
        <v>6.507142857142858</v>
      </c>
      <c r="AY95" s="69"/>
      <c r="AZ95" s="69">
        <f t="shared" si="37"/>
        <v>3.6785714285714284</v>
      </c>
      <c r="BA95" s="111">
        <f t="shared" si="38"/>
        <v>266.311613314222</v>
      </c>
      <c r="BB95" s="111">
        <f t="shared" si="39"/>
        <v>104.8107142857143</v>
      </c>
      <c r="BC95" s="25">
        <f t="shared" si="40"/>
        <v>43.51689106741186</v>
      </c>
      <c r="BD95" s="80">
        <f>(('[1]setup'!$B$13*'[1]setup'!$B$14*'[1]setup'!$B$15)/10^(-S95))*10^6</f>
        <v>49.544312187320564</v>
      </c>
      <c r="BE95" s="74">
        <f t="shared" si="41"/>
        <v>23.20104182140085</v>
      </c>
      <c r="BF95" s="75">
        <f t="shared" si="42"/>
        <v>161.50089902850772</v>
      </c>
      <c r="BG95" s="73">
        <f t="shared" si="43"/>
        <v>266.5509448898626</v>
      </c>
      <c r="BH95" s="73">
        <f t="shared" si="44"/>
        <v>177.55606829443573</v>
      </c>
      <c r="BI95" s="76">
        <f t="shared" si="45"/>
        <v>20.039061296808477</v>
      </c>
      <c r="BJ95" s="59"/>
      <c r="BK95" s="81">
        <f>(3*('[1]setup'!$D$19*(10^-S95)^3)+2*('[1]setup'!$D$20*'[1]setup'!$D$19*((10^-S95)^2))+('[1]setup'!$D$21*'[1]setup'!$D$19*10^-S95)+('[1]setup'!$D$19*'[1]setup'!$D$22*(AP95/(10^6*2))*(10^-S95)^3))*10^6</f>
        <v>0.0002510312709396718</v>
      </c>
      <c r="BL95" s="82">
        <f t="shared" si="46"/>
        <v>112.19616944809866</v>
      </c>
      <c r="BM95" s="75">
        <f>(BL95/((('[1]setup'!$C$26)/10^-S95)+2*(('[1]setup'!$C$26*'[1]setup'!$C$27)/(10^-S95^2))+3*(('[1]setup'!$C$26*'[1]setup'!$C$27*'[1]setup'!$C$28)/(10^-S95^3))))/(10^-S95^3/(10^-S95^3+'[1]setup'!$C$26*10^-S95^2+'[1]setup'!$C$26*'[1]setup'!$C$27*10^-S95+'[1]setup'!$C$26*'[1]setup'!$C$27*'[1]setup'!$C$28))</f>
        <v>43.37572490128345</v>
      </c>
      <c r="BN95" s="75"/>
      <c r="BO95" s="137">
        <f t="shared" si="47"/>
        <v>266.31161331422203</v>
      </c>
      <c r="BP95" s="137">
        <f t="shared" si="48"/>
        <v>104.8107142857143</v>
      </c>
      <c r="BQ95" s="137">
        <f t="shared" si="49"/>
        <v>2.5408815799905327</v>
      </c>
      <c r="BR95" s="137">
        <f t="shared" si="50"/>
        <v>159.64375617136483</v>
      </c>
      <c r="BS95" s="137">
        <f t="shared" si="51"/>
        <v>2.666444555500027</v>
      </c>
    </row>
    <row r="96" spans="1:71" ht="12.75">
      <c r="A96" s="110">
        <v>40449</v>
      </c>
      <c r="B96" s="16">
        <v>17.2</v>
      </c>
      <c r="C96" s="15" t="s">
        <v>90</v>
      </c>
      <c r="D96" s="140">
        <v>1040554</v>
      </c>
      <c r="F96" s="9">
        <v>0.006</v>
      </c>
      <c r="G96" s="9">
        <v>0.002</v>
      </c>
      <c r="H96" s="9">
        <v>0.0373</v>
      </c>
      <c r="I96" s="9">
        <v>1.733</v>
      </c>
      <c r="J96" s="9">
        <v>0.01</v>
      </c>
      <c r="K96" s="152">
        <v>0.0255</v>
      </c>
      <c r="L96" s="9">
        <v>0.006</v>
      </c>
      <c r="M96" s="9">
        <v>0.1</v>
      </c>
      <c r="N96" s="9">
        <v>0.6345</v>
      </c>
      <c r="O96" s="9">
        <v>0.4448</v>
      </c>
      <c r="P96" s="9">
        <v>3.707</v>
      </c>
      <c r="Q96" s="165">
        <v>0.619</v>
      </c>
      <c r="R96" s="165">
        <v>2.784</v>
      </c>
      <c r="S96" s="9">
        <v>6.53</v>
      </c>
      <c r="T96" s="9">
        <v>16.9</v>
      </c>
      <c r="U96" s="9">
        <v>20.26</v>
      </c>
      <c r="V96" s="9">
        <v>0.05</v>
      </c>
      <c r="W96" s="9"/>
      <c r="X96" s="9">
        <v>0.002</v>
      </c>
      <c r="Y96" s="9">
        <v>0.002</v>
      </c>
      <c r="Z96" s="94">
        <v>2.051</v>
      </c>
      <c r="AA96" s="94">
        <v>0.01</v>
      </c>
      <c r="AB96" s="76">
        <v>-0.025499999999999995</v>
      </c>
      <c r="AD96" s="143">
        <v>0.09054</v>
      </c>
      <c r="AE96" s="106">
        <f t="shared" si="52"/>
        <v>0.2142857142857143</v>
      </c>
      <c r="AF96" s="79">
        <f t="shared" si="53"/>
        <v>0.07272727272727272</v>
      </c>
      <c r="AG96" s="79">
        <f t="shared" si="54"/>
        <v>4.144444444444445</v>
      </c>
      <c r="AH96" s="79">
        <f t="shared" si="55"/>
        <v>247.57142857142858</v>
      </c>
      <c r="AI96" s="79">
        <f t="shared" si="56"/>
        <v>0.7142857142857143</v>
      </c>
      <c r="AJ96" s="79">
        <f t="shared" si="57"/>
        <v>1.8214285714285712</v>
      </c>
      <c r="AK96" s="79">
        <f t="shared" si="58"/>
        <v>0.5806451612903225</v>
      </c>
      <c r="AL96" s="79">
        <f t="shared" si="59"/>
        <v>2.5641025641025643</v>
      </c>
      <c r="AM96" s="79">
        <f t="shared" si="60"/>
        <v>31.724999999999998</v>
      </c>
      <c r="AN96" s="79">
        <f t="shared" si="61"/>
        <v>37.06666666666666</v>
      </c>
      <c r="AO96" s="79">
        <f t="shared" si="62"/>
        <v>161.17391304347825</v>
      </c>
      <c r="AP96" s="79">
        <f t="shared" si="63"/>
        <v>38.6875</v>
      </c>
      <c r="AQ96" s="79">
        <f t="shared" si="64"/>
        <v>79.54285714285714</v>
      </c>
      <c r="AR96" s="69">
        <f t="shared" si="34"/>
        <v>0.29512092266663836</v>
      </c>
      <c r="AS96" s="79">
        <f t="shared" si="65"/>
        <v>4.838709677419355</v>
      </c>
      <c r="AT96" s="79"/>
      <c r="AU96" s="79">
        <f t="shared" si="66"/>
        <v>0.06349206349206349</v>
      </c>
      <c r="AV96" s="79">
        <f t="shared" si="67"/>
        <v>0.061538461538461535</v>
      </c>
      <c r="AW96" s="106">
        <f t="shared" si="35"/>
        <v>0.7142857142857143</v>
      </c>
      <c r="AX96" s="69">
        <f t="shared" si="36"/>
        <v>-1.8214285714285712</v>
      </c>
      <c r="AY96" s="69"/>
      <c r="AZ96" s="69">
        <f t="shared" si="37"/>
        <v>2.5357142857142856</v>
      </c>
      <c r="BA96" s="111">
        <f t="shared" si="38"/>
        <v>233.2439679885332</v>
      </c>
      <c r="BB96" s="111">
        <f t="shared" si="39"/>
        <v>120.05178571428571</v>
      </c>
      <c r="BC96" s="25">
        <f t="shared" si="40"/>
        <v>32.03893086398687</v>
      </c>
      <c r="BD96" s="80">
        <f>(('[1]setup'!$B$13*'[1]setup'!$B$14*'[1]setup'!$B$15)/10^(-S96))*10^6</f>
        <v>40.178507822070344</v>
      </c>
      <c r="BE96" s="74">
        <f t="shared" si="41"/>
        <v>19.644540451631492</v>
      </c>
      <c r="BF96" s="75">
        <f t="shared" si="42"/>
        <v>113.19218227424749</v>
      </c>
      <c r="BG96" s="73">
        <f t="shared" si="43"/>
        <v>233.53908891119983</v>
      </c>
      <c r="BH96" s="73">
        <f t="shared" si="44"/>
        <v>179.87483398798756</v>
      </c>
      <c r="BI96" s="76">
        <f t="shared" si="45"/>
        <v>12.980756561577756</v>
      </c>
      <c r="BJ96" s="59"/>
      <c r="BK96" s="81">
        <f>(3*('[1]setup'!$D$19*(10^-S96)^3)+2*('[1]setup'!$D$20*'[1]setup'!$D$19*((10^-S96)^2))+('[1]setup'!$D$21*'[1]setup'!$D$19*10^-S96)+('[1]setup'!$D$19*'[1]setup'!$D$22*(AP96/(10^6*2))*(10^-S96)^3))*10^6</f>
        <v>0.0003228260537802028</v>
      </c>
      <c r="BL96" s="82">
        <f t="shared" si="46"/>
        <v>73.30911820089756</v>
      </c>
      <c r="BM96" s="75">
        <f>(BL96/((('[1]setup'!$C$26)/10^-S96)+2*(('[1]setup'!$C$26*'[1]setup'!$C$27)/(10^-S96^2))+3*(('[1]setup'!$C$26*'[1]setup'!$C$27*'[1]setup'!$C$28)/(10^-S96^3))))/(10^-S96^3/(10^-S96^3+'[1]setup'!$C$26*10^-S96^2+'[1]setup'!$C$26*'[1]setup'!$C$27*10^-S96+'[1]setup'!$C$26*'[1]setup'!$C$27*'[1]setup'!$C$28))</f>
        <v>28.936235175189967</v>
      </c>
      <c r="BN96" s="75"/>
      <c r="BO96" s="137">
        <f t="shared" si="47"/>
        <v>233.2439679885332</v>
      </c>
      <c r="BP96" s="137">
        <f t="shared" si="48"/>
        <v>120.05178571428571</v>
      </c>
      <c r="BQ96" s="137">
        <f t="shared" si="49"/>
        <v>1.9428612960713174</v>
      </c>
      <c r="BR96" s="137">
        <f t="shared" si="50"/>
        <v>112.47789655996176</v>
      </c>
      <c r="BS96" s="137">
        <f t="shared" si="51"/>
        <v>2.0262524987506247</v>
      </c>
    </row>
    <row r="97" spans="1:71" ht="15">
      <c r="A97" s="138">
        <v>40469</v>
      </c>
      <c r="B97" s="16">
        <v>16</v>
      </c>
      <c r="C97" s="15" t="s">
        <v>90</v>
      </c>
      <c r="D97" s="140">
        <v>1042094</v>
      </c>
      <c r="F97" s="9">
        <v>0.006</v>
      </c>
      <c r="G97" s="9">
        <v>0.002</v>
      </c>
      <c r="H97" s="9">
        <v>0.03761</v>
      </c>
      <c r="I97" s="9">
        <v>1.633</v>
      </c>
      <c r="J97" s="152">
        <v>0.01</v>
      </c>
      <c r="K97" s="165">
        <v>0.02523</v>
      </c>
      <c r="L97" s="152">
        <v>0.007</v>
      </c>
      <c r="M97" s="9">
        <v>0.2115</v>
      </c>
      <c r="N97" s="9">
        <v>0.5602</v>
      </c>
      <c r="O97" s="9">
        <v>0.2841</v>
      </c>
      <c r="P97" s="9">
        <v>2.493</v>
      </c>
      <c r="Q97" s="165">
        <v>0.5668</v>
      </c>
      <c r="R97" s="165">
        <v>2.611</v>
      </c>
      <c r="S97" s="9">
        <v>6.445</v>
      </c>
      <c r="T97" s="9">
        <v>13.2</v>
      </c>
      <c r="U97" s="9">
        <v>21.1</v>
      </c>
      <c r="V97" s="9">
        <v>0.05</v>
      </c>
      <c r="W97" s="9"/>
      <c r="X97" s="9">
        <v>0.002222</v>
      </c>
      <c r="Y97" s="9">
        <v>0.002</v>
      </c>
      <c r="Z97" s="160">
        <v>2.41</v>
      </c>
      <c r="AA97" s="94">
        <v>0.01</v>
      </c>
      <c r="AB97" s="76">
        <v>-0.025229999999999995</v>
      </c>
      <c r="AD97" s="143">
        <v>0.08363</v>
      </c>
      <c r="AE97" s="106">
        <f t="shared" si="52"/>
        <v>0.2142857142857143</v>
      </c>
      <c r="AF97" s="79">
        <f t="shared" si="53"/>
        <v>0.07272727272727272</v>
      </c>
      <c r="AG97" s="79">
        <f t="shared" si="54"/>
        <v>4.178888888888888</v>
      </c>
      <c r="AH97" s="79">
        <f t="shared" si="55"/>
        <v>233.28571428571428</v>
      </c>
      <c r="AI97" s="79">
        <f t="shared" si="56"/>
        <v>0.7142857142857143</v>
      </c>
      <c r="AJ97" s="79">
        <f t="shared" si="57"/>
        <v>1.802142857142857</v>
      </c>
      <c r="AK97" s="79">
        <f t="shared" si="58"/>
        <v>0.6774193548387097</v>
      </c>
      <c r="AL97" s="79">
        <f t="shared" si="59"/>
        <v>5.4230769230769225</v>
      </c>
      <c r="AM97" s="79">
        <f t="shared" si="60"/>
        <v>28.01</v>
      </c>
      <c r="AN97" s="79">
        <f t="shared" si="61"/>
        <v>23.675</v>
      </c>
      <c r="AO97" s="79">
        <f t="shared" si="62"/>
        <v>108.39130434782608</v>
      </c>
      <c r="AP97" s="79">
        <f t="shared" si="63"/>
        <v>35.425</v>
      </c>
      <c r="AQ97" s="79">
        <f t="shared" si="64"/>
        <v>74.6</v>
      </c>
      <c r="AR97" s="69">
        <f t="shared" si="34"/>
        <v>0.3589219346450049</v>
      </c>
      <c r="AS97" s="79">
        <f t="shared" si="65"/>
        <v>4.838709677419355</v>
      </c>
      <c r="AT97" s="79"/>
      <c r="AU97" s="79">
        <f t="shared" si="66"/>
        <v>0.07053968253968254</v>
      </c>
      <c r="AV97" s="79">
        <f t="shared" si="67"/>
        <v>0.061538461538461535</v>
      </c>
      <c r="AW97" s="106">
        <f t="shared" si="35"/>
        <v>0.7142857142857143</v>
      </c>
      <c r="AX97" s="69">
        <f t="shared" si="36"/>
        <v>-1.8021428571428568</v>
      </c>
      <c r="AY97" s="69"/>
      <c r="AZ97" s="69">
        <f t="shared" si="37"/>
        <v>2.5164285714285715</v>
      </c>
      <c r="BA97" s="111">
        <f t="shared" si="38"/>
        <v>166.21366698518872</v>
      </c>
      <c r="BB97" s="111">
        <f t="shared" si="39"/>
        <v>111.82714285714285</v>
      </c>
      <c r="BC97" s="25">
        <f t="shared" si="40"/>
        <v>19.560626427065444</v>
      </c>
      <c r="BD97" s="80">
        <f>(('[1]setup'!$B$13*'[1]setup'!$B$14*'[1]setup'!$B$15)/10^(-S97))*10^6</f>
        <v>33.036482742538276</v>
      </c>
      <c r="BE97" s="74">
        <f t="shared" si="41"/>
        <v>22.961039729834514</v>
      </c>
      <c r="BF97" s="75">
        <f t="shared" si="42"/>
        <v>54.38652412804588</v>
      </c>
      <c r="BG97" s="73">
        <f t="shared" si="43"/>
        <v>166.57258891983372</v>
      </c>
      <c r="BH97" s="73">
        <f t="shared" si="44"/>
        <v>167.82466532951565</v>
      </c>
      <c r="BI97" s="76">
        <f t="shared" si="45"/>
        <v>0.37442783807916674</v>
      </c>
      <c r="BJ97" s="59"/>
      <c r="BK97" s="81">
        <f>(3*('[1]setup'!$D$19*(10^-S97)^3)+2*('[1]setup'!$D$20*'[1]setup'!$D$19*((10^-S97)^2))+('[1]setup'!$D$21*'[1]setup'!$D$19*10^-S97)+('[1]setup'!$D$19*'[1]setup'!$D$22*(AP97/(10^6*2))*(10^-S97)^3))*10^6</f>
        <v>0.0004119012734652202</v>
      </c>
      <c r="BL97" s="82">
        <f t="shared" si="46"/>
        <v>21.709375221426058</v>
      </c>
      <c r="BM97" s="75">
        <f>(BL97/((('[1]setup'!$C$26)/10^-S97)+2*(('[1]setup'!$C$26*'[1]setup'!$C$27)/(10^-S97^2))+3*(('[1]setup'!$C$26*'[1]setup'!$C$27*'[1]setup'!$C$28)/(10^-S97^3))))/(10^-S97^3/(10^-S97^3+'[1]setup'!$C$26*10^-S97^2+'[1]setup'!$C$26*'[1]setup'!$C$27*10^-S97+'[1]setup'!$C$26*'[1]setup'!$C$27*'[1]setup'!$C$28))</f>
        <v>8.744605931085449</v>
      </c>
      <c r="BN97" s="75"/>
      <c r="BO97" s="137">
        <f t="shared" si="47"/>
        <v>166.21366698518872</v>
      </c>
      <c r="BP97" s="137">
        <f t="shared" si="48"/>
        <v>111.82714285714285</v>
      </c>
      <c r="BQ97" s="137">
        <f t="shared" si="49"/>
        <v>1.4863445737634886</v>
      </c>
      <c r="BR97" s="137">
        <f t="shared" si="50"/>
        <v>53.672238413760155</v>
      </c>
      <c r="BS97" s="137">
        <f t="shared" si="51"/>
        <v>1.4529665462175079</v>
      </c>
    </row>
    <row r="98" spans="1:71" ht="12.75">
      <c r="A98" s="138">
        <v>40491</v>
      </c>
      <c r="B98" s="16">
        <v>13</v>
      </c>
      <c r="C98" s="15" t="s">
        <v>90</v>
      </c>
      <c r="D98" s="140">
        <v>1043816</v>
      </c>
      <c r="F98" s="9">
        <v>0.006</v>
      </c>
      <c r="G98" s="9">
        <v>0.002093</v>
      </c>
      <c r="H98" s="9">
        <v>0.06796</v>
      </c>
      <c r="I98" s="9">
        <v>1.101</v>
      </c>
      <c r="J98" s="9">
        <v>0.01</v>
      </c>
      <c r="K98" s="165">
        <v>0.025823</v>
      </c>
      <c r="L98" s="9">
        <v>0.007</v>
      </c>
      <c r="M98" s="9">
        <v>0.1</v>
      </c>
      <c r="N98" s="9">
        <v>0.3094</v>
      </c>
      <c r="O98" s="9">
        <v>0.2272</v>
      </c>
      <c r="P98" s="9">
        <v>2.151</v>
      </c>
      <c r="Q98" s="165">
        <v>0.4427</v>
      </c>
      <c r="R98" s="165">
        <v>2.781</v>
      </c>
      <c r="S98" s="9">
        <v>5.302</v>
      </c>
      <c r="T98" s="9">
        <v>13.8</v>
      </c>
      <c r="U98" s="9">
        <v>19.81</v>
      </c>
      <c r="V98" s="9">
        <v>0.05</v>
      </c>
      <c r="W98" s="9"/>
      <c r="X98" s="9">
        <v>0.002</v>
      </c>
      <c r="Y98" s="9">
        <v>0.002974</v>
      </c>
      <c r="Z98" s="94">
        <v>5.387</v>
      </c>
      <c r="AA98" s="94">
        <v>0.1501</v>
      </c>
      <c r="AB98" s="76">
        <v>0.11427700000000002</v>
      </c>
      <c r="AD98" s="143">
        <v>0.05388</v>
      </c>
      <c r="AE98" s="106">
        <f t="shared" si="52"/>
        <v>0.2142857142857143</v>
      </c>
      <c r="AF98" s="79">
        <f t="shared" si="53"/>
        <v>0.07610909090909089</v>
      </c>
      <c r="AG98" s="79">
        <f t="shared" si="54"/>
        <v>7.551111111111112</v>
      </c>
      <c r="AH98" s="79">
        <f t="shared" si="55"/>
        <v>157.28571428571428</v>
      </c>
      <c r="AI98" s="79">
        <f t="shared" si="56"/>
        <v>0.7142857142857143</v>
      </c>
      <c r="AJ98" s="79">
        <f t="shared" si="57"/>
        <v>1.8445</v>
      </c>
      <c r="AK98" s="79">
        <f t="shared" si="58"/>
        <v>0.6774193548387097</v>
      </c>
      <c r="AL98" s="79">
        <f t="shared" si="59"/>
        <v>2.5641025641025643</v>
      </c>
      <c r="AM98" s="79">
        <f t="shared" si="60"/>
        <v>15.47</v>
      </c>
      <c r="AN98" s="79">
        <f t="shared" si="61"/>
        <v>18.933333333333334</v>
      </c>
      <c r="AO98" s="79">
        <f t="shared" si="62"/>
        <v>93.52173913043478</v>
      </c>
      <c r="AP98" s="79">
        <f t="shared" si="63"/>
        <v>27.66875</v>
      </c>
      <c r="AQ98" s="79">
        <f t="shared" si="64"/>
        <v>79.45714285714287</v>
      </c>
      <c r="AR98" s="69">
        <f t="shared" si="34"/>
        <v>4.988844874600127</v>
      </c>
      <c r="AS98" s="79">
        <f t="shared" si="65"/>
        <v>4.838709677419355</v>
      </c>
      <c r="AT98" s="79"/>
      <c r="AU98" s="79">
        <f t="shared" si="66"/>
        <v>0.06349206349206349</v>
      </c>
      <c r="AV98" s="79">
        <f t="shared" si="67"/>
        <v>0.0915076923076923</v>
      </c>
      <c r="AW98" s="106">
        <f t="shared" si="35"/>
        <v>10.721428571428573</v>
      </c>
      <c r="AX98" s="69">
        <f t="shared" si="36"/>
        <v>8.162642857142858</v>
      </c>
      <c r="AY98" s="69"/>
      <c r="AZ98" s="69">
        <f t="shared" si="37"/>
        <v>2.5587857142857144</v>
      </c>
      <c r="BA98" s="111">
        <f t="shared" si="38"/>
        <v>131.2034607421564</v>
      </c>
      <c r="BB98" s="111">
        <f t="shared" si="39"/>
        <v>108.97039285714287</v>
      </c>
      <c r="BC98" s="25">
        <f t="shared" si="40"/>
        <v>9.257072554661464</v>
      </c>
      <c r="BD98" s="80">
        <f>(('[1]setup'!$B$13*'[1]setup'!$B$14*'[1]setup'!$B$15)/10^(-S98))*10^6</f>
        <v>2.3768063745955974</v>
      </c>
      <c r="BE98" s="74">
        <f t="shared" si="41"/>
        <v>44.31892488754225</v>
      </c>
      <c r="BF98" s="75">
        <f t="shared" si="42"/>
        <v>22.23306788501354</v>
      </c>
      <c r="BG98" s="73">
        <f t="shared" si="43"/>
        <v>136.19230561675653</v>
      </c>
      <c r="BH98" s="73">
        <f t="shared" si="44"/>
        <v>155.6661241192807</v>
      </c>
      <c r="BI98" s="76">
        <f t="shared" si="45"/>
        <v>6.672350879204244</v>
      </c>
      <c r="BJ98" s="59"/>
      <c r="BK98" s="81">
        <f>(3*('[1]setup'!$D$19*(10^-S98)^3)+2*('[1]setup'!$D$20*'[1]setup'!$D$19*((10^-S98)^2))+('[1]setup'!$D$21*'[1]setup'!$D$19*10^-S98)+('[1]setup'!$D$19*'[1]setup'!$D$22*(AP98/(10^6*2))*(10^-S98)^3))*10^6</f>
        <v>0.05782547656020922</v>
      </c>
      <c r="BL98" s="82">
        <f t="shared" si="46"/>
        <v>24.902931861578253</v>
      </c>
      <c r="BM98" s="75">
        <f>(BL98/((('[1]setup'!$C$26)/10^-S98)+2*(('[1]setup'!$C$26*'[1]setup'!$C$27)/(10^-S98^2))+3*(('[1]setup'!$C$26*'[1]setup'!$C$27*'[1]setup'!$C$28)/(10^-S98^3))))/(10^-S98^3/(10^-S98^3+'[1]setup'!$C$26*10^-S98^2+'[1]setup'!$C$26*'[1]setup'!$C$27*10^-S98+'[1]setup'!$C$26*'[1]setup'!$C$27*'[1]setup'!$C$28))</f>
        <v>12.94375502810516</v>
      </c>
      <c r="BN98" s="75"/>
      <c r="BO98" s="137">
        <f t="shared" si="47"/>
        <v>131.20346074215638</v>
      </c>
      <c r="BP98" s="137">
        <f t="shared" si="48"/>
        <v>108.97039285714287</v>
      </c>
      <c r="BQ98" s="137">
        <f t="shared" si="49"/>
        <v>1.2040285191424467</v>
      </c>
      <c r="BR98" s="137">
        <f t="shared" si="50"/>
        <v>21.518782170727818</v>
      </c>
      <c r="BS98" s="137">
        <f t="shared" si="51"/>
        <v>1.177008583087097</v>
      </c>
    </row>
    <row r="99" spans="1:71" ht="12.75">
      <c r="A99" s="138">
        <v>40526</v>
      </c>
      <c r="B99" s="16">
        <v>13</v>
      </c>
      <c r="C99" s="15" t="s">
        <v>90</v>
      </c>
      <c r="D99" s="140">
        <v>1048829</v>
      </c>
      <c r="F99" s="9">
        <v>0.006</v>
      </c>
      <c r="G99" s="9">
        <v>0.002846</v>
      </c>
      <c r="H99" s="9">
        <v>0.03906</v>
      </c>
      <c r="I99" s="9">
        <v>1.283</v>
      </c>
      <c r="J99" s="152">
        <v>0.01</v>
      </c>
      <c r="K99" s="165">
        <v>0.03403</v>
      </c>
      <c r="L99" s="152">
        <v>0.007</v>
      </c>
      <c r="M99" s="9">
        <v>0.2164</v>
      </c>
      <c r="N99" s="9">
        <v>0.4783</v>
      </c>
      <c r="O99" s="9">
        <v>0.2459</v>
      </c>
      <c r="P99" s="9">
        <v>2.258</v>
      </c>
      <c r="Q99" s="165">
        <v>0.4866</v>
      </c>
      <c r="R99" s="165">
        <v>2.823</v>
      </c>
      <c r="S99" s="9">
        <v>6.045</v>
      </c>
      <c r="T99" s="9">
        <v>15.9</v>
      </c>
      <c r="U99" s="9">
        <v>19.63</v>
      </c>
      <c r="V99" s="9">
        <v>0.05</v>
      </c>
      <c r="W99" s="9"/>
      <c r="X99" s="9">
        <v>0.002027</v>
      </c>
      <c r="Y99" s="9">
        <v>0.002312</v>
      </c>
      <c r="Z99" s="94">
        <v>3.207</v>
      </c>
      <c r="AA99" s="94">
        <v>0.1344</v>
      </c>
      <c r="AB99" s="76">
        <v>0.09036999999999999</v>
      </c>
      <c r="AD99" s="143">
        <v>0.07087</v>
      </c>
      <c r="AE99" s="106">
        <f t="shared" si="52"/>
        <v>0.2142857142857143</v>
      </c>
      <c r="AF99" s="79">
        <f t="shared" si="53"/>
        <v>0.10349090909090909</v>
      </c>
      <c r="AG99" s="79">
        <f t="shared" si="54"/>
        <v>4.34</v>
      </c>
      <c r="AH99" s="79">
        <f t="shared" si="55"/>
        <v>183.28571428571428</v>
      </c>
      <c r="AI99" s="79">
        <f t="shared" si="56"/>
        <v>0.7142857142857143</v>
      </c>
      <c r="AJ99" s="79">
        <f t="shared" si="57"/>
        <v>2.4307142857142856</v>
      </c>
      <c r="AK99" s="79">
        <f t="shared" si="58"/>
        <v>0.6774193548387097</v>
      </c>
      <c r="AL99" s="79">
        <f t="shared" si="59"/>
        <v>5.5487179487179485</v>
      </c>
      <c r="AM99" s="79">
        <f t="shared" si="60"/>
        <v>23.915</v>
      </c>
      <c r="AN99" s="79">
        <f t="shared" si="61"/>
        <v>20.491666666666667</v>
      </c>
      <c r="AO99" s="79">
        <f t="shared" si="62"/>
        <v>98.17391304347827</v>
      </c>
      <c r="AP99" s="79">
        <f t="shared" si="63"/>
        <v>30.412499999999998</v>
      </c>
      <c r="AQ99" s="79">
        <f t="shared" si="64"/>
        <v>80.65714285714286</v>
      </c>
      <c r="AR99" s="69">
        <f t="shared" si="34"/>
        <v>0.9015711376059571</v>
      </c>
      <c r="AS99" s="79">
        <f t="shared" si="65"/>
        <v>4.838709677419355</v>
      </c>
      <c r="AT99" s="79"/>
      <c r="AU99" s="79">
        <f t="shared" si="66"/>
        <v>0.06434920634920635</v>
      </c>
      <c r="AV99" s="79">
        <f t="shared" si="67"/>
        <v>0.07113846153846154</v>
      </c>
      <c r="AW99" s="106">
        <f t="shared" si="35"/>
        <v>9.6</v>
      </c>
      <c r="AX99" s="69">
        <f t="shared" si="36"/>
        <v>6.455</v>
      </c>
      <c r="AY99" s="69"/>
      <c r="AZ99" s="69">
        <f t="shared" si="37"/>
        <v>3.145</v>
      </c>
      <c r="BA99" s="111">
        <f t="shared" si="38"/>
        <v>148.8435833731486</v>
      </c>
      <c r="BB99" s="111">
        <f t="shared" si="39"/>
        <v>113.50035714285714</v>
      </c>
      <c r="BC99" s="25">
        <f t="shared" si="40"/>
        <v>13.472095509724626</v>
      </c>
      <c r="BD99" s="80">
        <f>(('[1]setup'!$B$13*'[1]setup'!$B$14*'[1]setup'!$B$15)/10^(-S99))*10^6</f>
        <v>13.152060669671336</v>
      </c>
      <c r="BE99" s="74">
        <f t="shared" si="41"/>
        <v>29.552576002000954</v>
      </c>
      <c r="BF99" s="75">
        <f t="shared" si="42"/>
        <v>35.34322623029148</v>
      </c>
      <c r="BG99" s="73">
        <f t="shared" si="43"/>
        <v>149.7451545107546</v>
      </c>
      <c r="BH99" s="73">
        <f t="shared" si="44"/>
        <v>156.20499381452942</v>
      </c>
      <c r="BI99" s="76">
        <f t="shared" si="45"/>
        <v>2.1114025729795607</v>
      </c>
      <c r="BJ99" s="59"/>
      <c r="BK99" s="81">
        <f>(3*('[1]setup'!$D$19*(10^-S99)^3)+2*('[1]setup'!$D$20*'[1]setup'!$D$19*((10^-S99)^2))+('[1]setup'!$D$21*'[1]setup'!$D$19*10^-S99)+('[1]setup'!$D$19*'[1]setup'!$D$22*(AP99/(10^6*2))*(10^-S99)^3))*10^6</f>
        <v>0.0015360409095112972</v>
      </c>
      <c r="BL99" s="82">
        <f t="shared" si="46"/>
        <v>23.09427273913562</v>
      </c>
      <c r="BM99" s="75">
        <f>(BL99/((('[1]setup'!$C$26)/10^-S99)+2*(('[1]setup'!$C$26*'[1]setup'!$C$27)/(10^-S99^2))+3*(('[1]setup'!$C$26*'[1]setup'!$C$27*'[1]setup'!$C$28)/(10^-S99^3))))/(10^-S99^3/(10^-S99^3+'[1]setup'!$C$26*10^-S99^2+'[1]setup'!$C$26*'[1]setup'!$C$27*10^-S99+'[1]setup'!$C$26*'[1]setup'!$C$27*'[1]setup'!$C$28))</f>
        <v>10.25795842876111</v>
      </c>
      <c r="BN99" s="75"/>
      <c r="BO99" s="137">
        <f t="shared" si="47"/>
        <v>148.8435833731486</v>
      </c>
      <c r="BP99" s="137">
        <f t="shared" si="48"/>
        <v>113.50035714285714</v>
      </c>
      <c r="BQ99" s="137">
        <f t="shared" si="49"/>
        <v>1.3113930838632228</v>
      </c>
      <c r="BR99" s="137">
        <f t="shared" si="50"/>
        <v>34.62894051600573</v>
      </c>
      <c r="BS99" s="137">
        <f t="shared" si="51"/>
        <v>1.2171756842089052</v>
      </c>
    </row>
    <row r="100" spans="1:71" ht="12.75">
      <c r="A100" s="138">
        <v>40555</v>
      </c>
      <c r="B100" s="16">
        <v>14.15</v>
      </c>
      <c r="C100" s="15" t="s">
        <v>90</v>
      </c>
      <c r="D100" s="140">
        <v>1051858</v>
      </c>
      <c r="F100" s="9">
        <v>0.006</v>
      </c>
      <c r="G100" s="9">
        <v>0.002326</v>
      </c>
      <c r="H100" s="9">
        <v>0.03244</v>
      </c>
      <c r="I100" s="9">
        <v>2.738</v>
      </c>
      <c r="J100" s="152">
        <v>0.01</v>
      </c>
      <c r="K100" s="165">
        <v>0.06585</v>
      </c>
      <c r="L100" s="152">
        <v>0.005</v>
      </c>
      <c r="M100" s="9">
        <v>0.3158</v>
      </c>
      <c r="N100" s="9">
        <v>0.7874</v>
      </c>
      <c r="O100" s="9">
        <v>0.393</v>
      </c>
      <c r="P100" s="9">
        <v>3.525</v>
      </c>
      <c r="Q100" s="165">
        <v>0.6315</v>
      </c>
      <c r="R100" s="165">
        <v>2.651</v>
      </c>
      <c r="S100" s="9">
        <v>6.524</v>
      </c>
      <c r="T100" s="9">
        <v>15.9</v>
      </c>
      <c r="U100" s="9">
        <v>21.89</v>
      </c>
      <c r="V100" s="9">
        <v>0.05</v>
      </c>
      <c r="W100" s="165"/>
      <c r="X100" s="9">
        <v>0.002867</v>
      </c>
      <c r="Y100" s="9">
        <v>0.002424</v>
      </c>
      <c r="Z100" s="94">
        <v>1.596</v>
      </c>
      <c r="AA100" s="94">
        <v>0.1315</v>
      </c>
      <c r="AB100" s="76">
        <v>0.055650000000000005</v>
      </c>
      <c r="AD100" s="143">
        <v>0.08554</v>
      </c>
      <c r="AE100" s="106">
        <f t="shared" si="52"/>
        <v>0.2142857142857143</v>
      </c>
      <c r="AF100" s="79">
        <f t="shared" si="53"/>
        <v>0.08458181818181817</v>
      </c>
      <c r="AG100" s="79">
        <f t="shared" si="54"/>
        <v>3.604444444444444</v>
      </c>
      <c r="AH100" s="79">
        <f t="shared" si="55"/>
        <v>391.1428571428571</v>
      </c>
      <c r="AI100" s="79">
        <f t="shared" si="56"/>
        <v>0.7142857142857143</v>
      </c>
      <c r="AJ100" s="79">
        <f t="shared" si="57"/>
        <v>4.703571428571429</v>
      </c>
      <c r="AK100" s="79">
        <f t="shared" si="58"/>
        <v>0.4838709677419355</v>
      </c>
      <c r="AL100" s="79">
        <f t="shared" si="59"/>
        <v>8.097435897435899</v>
      </c>
      <c r="AM100" s="79">
        <f t="shared" si="60"/>
        <v>39.370000000000005</v>
      </c>
      <c r="AN100" s="79">
        <f t="shared" si="61"/>
        <v>32.75</v>
      </c>
      <c r="AO100" s="79">
        <f t="shared" si="62"/>
        <v>153.2608695652174</v>
      </c>
      <c r="AP100" s="79">
        <f t="shared" si="63"/>
        <v>39.46875</v>
      </c>
      <c r="AQ100" s="79">
        <f t="shared" si="64"/>
        <v>75.74285714285713</v>
      </c>
      <c r="AR100" s="69">
        <f t="shared" si="34"/>
        <v>0.2992264636608189</v>
      </c>
      <c r="AS100" s="79">
        <f t="shared" si="65"/>
        <v>4.838709677419355</v>
      </c>
      <c r="AT100" s="79"/>
      <c r="AU100" s="79">
        <f t="shared" si="66"/>
        <v>0.09101587301587302</v>
      </c>
      <c r="AV100" s="79">
        <f t="shared" si="67"/>
        <v>0.07458461538461537</v>
      </c>
      <c r="AW100" s="106">
        <f t="shared" si="35"/>
        <v>9.392857142857144</v>
      </c>
      <c r="AX100" s="69">
        <f t="shared" si="36"/>
        <v>3.975</v>
      </c>
      <c r="AY100" s="69"/>
      <c r="AZ100" s="69">
        <f t="shared" si="37"/>
        <v>5.417857142857144</v>
      </c>
      <c r="BA100" s="111">
        <f t="shared" si="38"/>
        <v>234.19259117693903</v>
      </c>
      <c r="BB100" s="111">
        <f t="shared" si="39"/>
        <v>119.91517857142856</v>
      </c>
      <c r="BC100" s="25">
        <f t="shared" si="40"/>
        <v>32.27193029023823</v>
      </c>
      <c r="BD100" s="80">
        <f>(('[1]setup'!$B$13*'[1]setup'!$B$14*'[1]setup'!$B$15)/10^(-S100))*10^6</f>
        <v>39.62723802818109</v>
      </c>
      <c r="BE100" s="74">
        <f t="shared" si="41"/>
        <v>15.28108750954282</v>
      </c>
      <c r="BF100" s="75">
        <f t="shared" si="42"/>
        <v>114.27741260551048</v>
      </c>
      <c r="BG100" s="73">
        <f t="shared" si="43"/>
        <v>234.49181764059986</v>
      </c>
      <c r="BH100" s="73">
        <f t="shared" si="44"/>
        <v>174.82350410915248</v>
      </c>
      <c r="BI100" s="76">
        <f t="shared" si="45"/>
        <v>14.57759100645821</v>
      </c>
      <c r="BJ100" s="59"/>
      <c r="BK100" s="81">
        <f>(3*('[1]setup'!$D$19*(10^-S100)^3)+2*('[1]setup'!$D$20*'[1]setup'!$D$19*((10^-S100)^2))+('[1]setup'!$D$21*'[1]setup'!$D$19*10^-S100)+('[1]setup'!$D$19*'[1]setup'!$D$22*(AP100/(10^6*2))*(10^-S100)^3))*10^6</f>
        <v>0.00032833066115639054</v>
      </c>
      <c r="BL100" s="82">
        <f t="shared" si="46"/>
        <v>74.94972937165136</v>
      </c>
      <c r="BM100" s="75">
        <f>(BL100/((('[1]setup'!$C$26)/10^-S100)+2*(('[1]setup'!$C$26*'[1]setup'!$C$27)/(10^-S100^2))+3*(('[1]setup'!$C$26*'[1]setup'!$C$27*'[1]setup'!$C$28)/(10^-S100^3))))/(10^-S100^3/(10^-S100^3+'[1]setup'!$C$26*10^-S100^2+'[1]setup'!$C$26*'[1]setup'!$C$27*10^-S100+'[1]setup'!$C$26*'[1]setup'!$C$27*'[1]setup'!$C$28))</f>
        <v>29.62546454722195</v>
      </c>
      <c r="BN100" s="75"/>
      <c r="BO100" s="137">
        <f t="shared" si="47"/>
        <v>234.192591176939</v>
      </c>
      <c r="BP100" s="137">
        <f t="shared" si="48"/>
        <v>119.91517857142856</v>
      </c>
      <c r="BQ100" s="137">
        <f t="shared" si="49"/>
        <v>1.9529853848938739</v>
      </c>
      <c r="BR100" s="137">
        <f t="shared" si="50"/>
        <v>113.56312689122475</v>
      </c>
      <c r="BS100" s="137">
        <f t="shared" si="51"/>
        <v>2.0234366030866124</v>
      </c>
    </row>
    <row r="101" spans="1:71" ht="12.75">
      <c r="A101" s="110">
        <v>40575</v>
      </c>
      <c r="B101" s="16">
        <v>12.3</v>
      </c>
      <c r="C101" s="15" t="s">
        <v>90</v>
      </c>
      <c r="D101" s="140">
        <v>1053129</v>
      </c>
      <c r="F101" s="9">
        <v>0.006</v>
      </c>
      <c r="G101" s="9">
        <v>0.002994</v>
      </c>
      <c r="H101" s="9">
        <v>0.05913</v>
      </c>
      <c r="I101" s="9">
        <v>1.5</v>
      </c>
      <c r="J101" s="152">
        <v>0.012</v>
      </c>
      <c r="K101" s="165">
        <v>0.025473</v>
      </c>
      <c r="L101" s="152">
        <v>0.006</v>
      </c>
      <c r="M101" s="9">
        <v>0.265</v>
      </c>
      <c r="N101" s="9">
        <v>0.4551</v>
      </c>
      <c r="O101" s="9">
        <v>0.2429</v>
      </c>
      <c r="P101" s="9">
        <v>2.161</v>
      </c>
      <c r="Q101" s="165">
        <v>0.4462</v>
      </c>
      <c r="R101" s="165">
        <v>2.404</v>
      </c>
      <c r="S101" s="9">
        <v>5.977</v>
      </c>
      <c r="T101" s="9">
        <v>14.9</v>
      </c>
      <c r="U101" s="9">
        <v>18.35</v>
      </c>
      <c r="V101" s="9">
        <v>0.05</v>
      </c>
      <c r="W101" s="9"/>
      <c r="X101" s="9">
        <v>0.002768</v>
      </c>
      <c r="Y101" s="9">
        <v>0.002225</v>
      </c>
      <c r="Z101" s="159">
        <v>3.986</v>
      </c>
      <c r="AA101" s="94">
        <v>0.1649</v>
      </c>
      <c r="AB101" s="76">
        <v>0.12742699999999998</v>
      </c>
      <c r="AD101" s="143">
        <v>0.06556</v>
      </c>
      <c r="AE101" s="106">
        <f t="shared" si="52"/>
        <v>0.2142857142857143</v>
      </c>
      <c r="AF101" s="79">
        <f t="shared" si="53"/>
        <v>0.10887272727272729</v>
      </c>
      <c r="AG101" s="79">
        <f t="shared" si="54"/>
        <v>6.57</v>
      </c>
      <c r="AH101" s="79">
        <f t="shared" si="55"/>
        <v>214.28571428571428</v>
      </c>
      <c r="AI101" s="79">
        <f t="shared" si="56"/>
        <v>0.8571428571428572</v>
      </c>
      <c r="AJ101" s="79">
        <f t="shared" si="57"/>
        <v>1.8195</v>
      </c>
      <c r="AK101" s="79">
        <f t="shared" si="58"/>
        <v>0.5806451612903225</v>
      </c>
      <c r="AL101" s="79">
        <f t="shared" si="59"/>
        <v>6.794871794871796</v>
      </c>
      <c r="AM101" s="79">
        <f t="shared" si="60"/>
        <v>22.755000000000003</v>
      </c>
      <c r="AN101" s="79">
        <f t="shared" si="61"/>
        <v>20.241666666666667</v>
      </c>
      <c r="AO101" s="79">
        <f t="shared" si="62"/>
        <v>93.95652173913044</v>
      </c>
      <c r="AP101" s="79">
        <f t="shared" si="63"/>
        <v>27.8875</v>
      </c>
      <c r="AQ101" s="79">
        <f t="shared" si="64"/>
        <v>68.68571428571428</v>
      </c>
      <c r="AR101" s="69">
        <f t="shared" si="34"/>
        <v>1.0543868963912582</v>
      </c>
      <c r="AS101" s="79">
        <f t="shared" si="65"/>
        <v>4.838709677419355</v>
      </c>
      <c r="AT101" s="79"/>
      <c r="AU101" s="79">
        <f t="shared" si="66"/>
        <v>0.08787301587301588</v>
      </c>
      <c r="AV101" s="79">
        <f t="shared" si="67"/>
        <v>0.06846153846153846</v>
      </c>
      <c r="AW101" s="106">
        <f t="shared" si="35"/>
        <v>11.778571428571428</v>
      </c>
      <c r="AX101" s="69">
        <f t="shared" si="36"/>
        <v>9.10192857142857</v>
      </c>
      <c r="AY101" s="69"/>
      <c r="AZ101" s="69">
        <f t="shared" si="37"/>
        <v>2.6766428571428573</v>
      </c>
      <c r="BA101" s="111">
        <f t="shared" si="38"/>
        <v>144.60520305781176</v>
      </c>
      <c r="BB101" s="111">
        <f t="shared" si="39"/>
        <v>98.39271428571428</v>
      </c>
      <c r="BC101" s="25">
        <f t="shared" si="40"/>
        <v>19.017648084105556</v>
      </c>
      <c r="BD101" s="80">
        <f>(('[1]setup'!$B$13*'[1]setup'!$B$14*'[1]setup'!$B$15)/10^(-S101))*10^6</f>
        <v>11.245889284475798</v>
      </c>
      <c r="BE101" s="74">
        <f t="shared" si="41"/>
        <v>36.46442921117446</v>
      </c>
      <c r="BF101" s="75">
        <f t="shared" si="42"/>
        <v>46.21248877209747</v>
      </c>
      <c r="BG101" s="73">
        <f t="shared" si="43"/>
        <v>145.65958995420303</v>
      </c>
      <c r="BH101" s="73">
        <f t="shared" si="44"/>
        <v>146.10303278136453</v>
      </c>
      <c r="BI101" s="76">
        <f t="shared" si="45"/>
        <v>0.15198753802107443</v>
      </c>
      <c r="BJ101" s="59"/>
      <c r="BK101" s="81">
        <f>(3*('[1]setup'!$D$19*(10^-S101)^3)+2*('[1]setup'!$D$20*'[1]setup'!$D$19*((10^-S101)^2))+('[1]setup'!$D$21*'[1]setup'!$D$19*10^-S101)+('[1]setup'!$D$19*'[1]setup'!$D$22*(AP101/(10^6*2))*(10^-S101)^3))*10^6</f>
        <v>0.0019951729731437703</v>
      </c>
      <c r="BL101" s="82">
        <f t="shared" si="46"/>
        <v>36.022981556986096</v>
      </c>
      <c r="BM101" s="75">
        <f>(BL101/((('[1]setup'!$C$26)/10^-S101)+2*(('[1]setup'!$C$26*'[1]setup'!$C$27)/(10^-S101^2))+3*(('[1]setup'!$C$26*'[1]setup'!$C$27*'[1]setup'!$C$28)/(10^-S101^3))))/(10^-S101^3/(10^-S101^3+'[1]setup'!$C$26*10^-S101^2+'[1]setup'!$C$26*'[1]setup'!$C$27*10^-S101+'[1]setup'!$C$26*'[1]setup'!$C$27*'[1]setup'!$C$28))</f>
        <v>16.25454926704285</v>
      </c>
      <c r="BN101" s="75"/>
      <c r="BO101" s="137">
        <f t="shared" si="47"/>
        <v>144.60520305781176</v>
      </c>
      <c r="BP101" s="137">
        <f t="shared" si="48"/>
        <v>98.39271428571428</v>
      </c>
      <c r="BQ101" s="137">
        <f t="shared" si="49"/>
        <v>1.4696738890432979</v>
      </c>
      <c r="BR101" s="137">
        <f t="shared" si="50"/>
        <v>45.355345914954626</v>
      </c>
      <c r="BS101" s="137">
        <f t="shared" si="51"/>
        <v>1.3679194096795197</v>
      </c>
    </row>
    <row r="102" spans="1:71" ht="12.75">
      <c r="A102" s="110">
        <v>40597</v>
      </c>
      <c r="B102" s="16">
        <v>12.35</v>
      </c>
      <c r="C102" s="15" t="s">
        <v>90</v>
      </c>
      <c r="D102" s="140">
        <v>1055237</v>
      </c>
      <c r="F102" s="9">
        <v>0.006</v>
      </c>
      <c r="G102" s="9">
        <v>0.003043</v>
      </c>
      <c r="H102" s="9">
        <v>0.05099</v>
      </c>
      <c r="I102" s="9">
        <v>1.176</v>
      </c>
      <c r="J102" s="152">
        <v>0.021</v>
      </c>
      <c r="K102" s="165">
        <v>0.2135</v>
      </c>
      <c r="L102" s="152">
        <v>0.005</v>
      </c>
      <c r="M102" s="9">
        <v>0.3718</v>
      </c>
      <c r="N102" s="9">
        <v>0.564</v>
      </c>
      <c r="O102" s="9">
        <v>0.3669</v>
      </c>
      <c r="P102" s="9">
        <v>2.347</v>
      </c>
      <c r="Q102" s="165">
        <v>0.6694</v>
      </c>
      <c r="R102" s="165">
        <v>3.63</v>
      </c>
      <c r="S102" s="9">
        <v>4.927</v>
      </c>
      <c r="T102" s="9">
        <v>17.4</v>
      </c>
      <c r="U102" s="9">
        <v>27.41</v>
      </c>
      <c r="V102" s="9">
        <v>0.05</v>
      </c>
      <c r="W102" s="9"/>
      <c r="X102" s="9">
        <v>0.002098</v>
      </c>
      <c r="Y102" s="9">
        <v>0.002627</v>
      </c>
      <c r="Z102" s="94">
        <v>4.82</v>
      </c>
      <c r="AA102" s="94">
        <v>0.3635</v>
      </c>
      <c r="AB102" s="76">
        <v>0.129</v>
      </c>
      <c r="AD102" s="143">
        <v>0.03937</v>
      </c>
      <c r="AE102" s="106">
        <f t="shared" si="52"/>
        <v>0.2142857142857143</v>
      </c>
      <c r="AF102" s="79">
        <f t="shared" si="53"/>
        <v>0.11065454545454546</v>
      </c>
      <c r="AG102" s="79">
        <f t="shared" si="54"/>
        <v>5.665555555555556</v>
      </c>
      <c r="AH102" s="79">
        <f t="shared" si="55"/>
        <v>167.99999999999997</v>
      </c>
      <c r="AI102" s="79">
        <f t="shared" si="56"/>
        <v>1.5</v>
      </c>
      <c r="AJ102" s="79">
        <f t="shared" si="57"/>
        <v>15.25</v>
      </c>
      <c r="AK102" s="79">
        <f t="shared" si="58"/>
        <v>0.4838709677419355</v>
      </c>
      <c r="AL102" s="79">
        <f t="shared" si="59"/>
        <v>9.533333333333335</v>
      </c>
      <c r="AM102" s="79">
        <f t="shared" si="60"/>
        <v>28.199999999999996</v>
      </c>
      <c r="AN102" s="79">
        <f t="shared" si="61"/>
        <v>30.575000000000003</v>
      </c>
      <c r="AO102" s="79">
        <f t="shared" si="62"/>
        <v>102.04347826086956</v>
      </c>
      <c r="AP102" s="79">
        <f t="shared" si="63"/>
        <v>41.8375</v>
      </c>
      <c r="AQ102" s="79">
        <f t="shared" si="64"/>
        <v>103.71428571428572</v>
      </c>
      <c r="AR102" s="69">
        <f t="shared" si="34"/>
        <v>11.830415557251662</v>
      </c>
      <c r="AS102" s="79">
        <f t="shared" si="65"/>
        <v>4.838709677419355</v>
      </c>
      <c r="AT102" s="79"/>
      <c r="AU102" s="79">
        <f t="shared" si="66"/>
        <v>0.06660317460317461</v>
      </c>
      <c r="AV102" s="79">
        <f t="shared" si="67"/>
        <v>0.08083076923076923</v>
      </c>
      <c r="AW102" s="106">
        <f t="shared" si="35"/>
        <v>25.964285714285715</v>
      </c>
      <c r="AX102" s="69">
        <f t="shared" si="36"/>
        <v>9.214285714285715</v>
      </c>
      <c r="AY102" s="69"/>
      <c r="AZ102" s="69">
        <f t="shared" si="37"/>
        <v>16.75</v>
      </c>
      <c r="BA102" s="111">
        <f t="shared" si="38"/>
        <v>171.8518115942029</v>
      </c>
      <c r="BB102" s="111">
        <f t="shared" si="39"/>
        <v>160.80178571428573</v>
      </c>
      <c r="BC102" s="25">
        <f t="shared" si="40"/>
        <v>3.3217815677699867</v>
      </c>
      <c r="BD102" s="80">
        <f>(('[1]setup'!$B$13*'[1]setup'!$B$14*'[1]setup'!$B$15)/10^(-S102))*10^6</f>
        <v>1.0022909374937286</v>
      </c>
      <c r="BE102" s="74">
        <f t="shared" si="41"/>
        <v>36.19814274149693</v>
      </c>
      <c r="BF102" s="75">
        <f t="shared" si="42"/>
        <v>11.050025879917172</v>
      </c>
      <c r="BG102" s="73">
        <f t="shared" si="43"/>
        <v>183.68222715145453</v>
      </c>
      <c r="BH102" s="73">
        <f t="shared" si="44"/>
        <v>198.0022193932764</v>
      </c>
      <c r="BI102" s="76">
        <f t="shared" si="45"/>
        <v>3.751788256361045</v>
      </c>
      <c r="BJ102" s="59"/>
      <c r="BK102" s="81">
        <f>(3*('[1]setup'!$D$19*(10^-S102)^3)+2*('[1]setup'!$D$20*'[1]setup'!$D$19*((10^-S102)^2))+('[1]setup'!$D$21*'[1]setup'!$D$19*10^-S102)+('[1]setup'!$D$19*'[1]setup'!$D$22*(AP102/(10^6*2))*(10^-S102)^3))*10^6</f>
        <v>0.6002807454282045</v>
      </c>
      <c r="BL102" s="82">
        <f t="shared" si="46"/>
        <v>22.478431245103252</v>
      </c>
      <c r="BM102" s="75">
        <f>(BL102/((('[1]setup'!$C$26)/10^-S102)+2*(('[1]setup'!$C$26*'[1]setup'!$C$27)/(10^-S102^2))+3*(('[1]setup'!$C$26*'[1]setup'!$C$27*'[1]setup'!$C$28)/(10^-S102^3))))/(10^-S102^3/(10^-S102^3+'[1]setup'!$C$26*10^-S102^2+'[1]setup'!$C$26*'[1]setup'!$C$27*10^-S102+'[1]setup'!$C$26*'[1]setup'!$C$27*'[1]setup'!$C$28))</f>
        <v>12.89250472126694</v>
      </c>
      <c r="BN102" s="75"/>
      <c r="BO102" s="137">
        <f t="shared" si="47"/>
        <v>171.8518115942029</v>
      </c>
      <c r="BP102" s="137">
        <f t="shared" si="48"/>
        <v>160.80178571428573</v>
      </c>
      <c r="BQ102" s="137">
        <f t="shared" si="49"/>
        <v>1.0687183032876946</v>
      </c>
      <c r="BR102" s="137">
        <f t="shared" si="50"/>
        <v>9.550025879917172</v>
      </c>
      <c r="BS102" s="137">
        <f t="shared" si="51"/>
        <v>0.9838902862618276</v>
      </c>
    </row>
    <row r="103" spans="1:71" ht="12.75">
      <c r="A103" s="110">
        <v>40618</v>
      </c>
      <c r="B103" s="16">
        <v>13</v>
      </c>
      <c r="C103" s="140" t="s">
        <v>90</v>
      </c>
      <c r="D103" s="140">
        <v>1057713</v>
      </c>
      <c r="F103" s="9">
        <v>0.006</v>
      </c>
      <c r="G103" s="9">
        <v>0.002032</v>
      </c>
      <c r="H103" s="9">
        <v>0.02471</v>
      </c>
      <c r="I103" s="9">
        <v>1.762</v>
      </c>
      <c r="J103" s="152">
        <v>0.01</v>
      </c>
      <c r="K103" s="165">
        <v>0.0559</v>
      </c>
      <c r="L103" s="152">
        <v>0.005</v>
      </c>
      <c r="M103" s="9">
        <v>0.2116</v>
      </c>
      <c r="N103" s="9">
        <v>0.5044</v>
      </c>
      <c r="O103" s="9">
        <v>0.271</v>
      </c>
      <c r="P103" s="9">
        <v>2.369</v>
      </c>
      <c r="Q103" s="165">
        <v>0.5819</v>
      </c>
      <c r="R103" s="165">
        <v>2.722</v>
      </c>
      <c r="S103" s="9">
        <v>6.246</v>
      </c>
      <c r="T103" s="9">
        <v>15.3</v>
      </c>
      <c r="U103" s="9">
        <v>22.23</v>
      </c>
      <c r="V103" s="9">
        <v>0.05</v>
      </c>
      <c r="W103" s="9"/>
      <c r="X103" s="9">
        <v>0.002208</v>
      </c>
      <c r="Y103" s="9">
        <v>0.002087</v>
      </c>
      <c r="Z103" s="94">
        <v>2.12</v>
      </c>
      <c r="AA103" s="1">
        <v>0.01</v>
      </c>
      <c r="AB103" s="76">
        <v>-0.0559</v>
      </c>
      <c r="AD103" s="143">
        <v>0.08185</v>
      </c>
      <c r="AE103" s="106">
        <f t="shared" si="52"/>
        <v>0.2142857142857143</v>
      </c>
      <c r="AF103" s="79">
        <f t="shared" si="53"/>
        <v>0.07389090909090909</v>
      </c>
      <c r="AG103" s="79">
        <f t="shared" si="54"/>
        <v>2.7455555555555553</v>
      </c>
      <c r="AH103" s="79">
        <f t="shared" si="55"/>
        <v>251.71428571428572</v>
      </c>
      <c r="AI103" s="79">
        <f t="shared" si="56"/>
        <v>0.7142857142857143</v>
      </c>
      <c r="AJ103" s="79">
        <f t="shared" si="57"/>
        <v>3.9928571428571424</v>
      </c>
      <c r="AK103" s="79">
        <f t="shared" si="58"/>
        <v>0.4838709677419355</v>
      </c>
      <c r="AL103" s="79">
        <f t="shared" si="59"/>
        <v>5.425641025641026</v>
      </c>
      <c r="AM103" s="79">
        <f t="shared" si="60"/>
        <v>25.22</v>
      </c>
      <c r="AN103" s="79">
        <f t="shared" si="61"/>
        <v>22.583333333333332</v>
      </c>
      <c r="AO103" s="79">
        <f t="shared" si="62"/>
        <v>103.00000000000001</v>
      </c>
      <c r="AP103" s="79">
        <f t="shared" si="63"/>
        <v>36.36875</v>
      </c>
      <c r="AQ103" s="79">
        <f t="shared" si="64"/>
        <v>77.77142857142857</v>
      </c>
      <c r="AR103" s="69">
        <f t="shared" si="34"/>
        <v>0.5675446054085466</v>
      </c>
      <c r="AS103" s="79">
        <f t="shared" si="65"/>
        <v>4.838709677419355</v>
      </c>
      <c r="AT103" s="79"/>
      <c r="AU103" s="79">
        <f t="shared" si="66"/>
        <v>0.07009523809523809</v>
      </c>
      <c r="AV103" s="79">
        <f t="shared" si="67"/>
        <v>0.0642153846153846</v>
      </c>
      <c r="AW103" s="106">
        <f t="shared" si="35"/>
        <v>0.7142857142857143</v>
      </c>
      <c r="AX103" s="69">
        <f t="shared" si="36"/>
        <v>-3.9928571428571424</v>
      </c>
      <c r="AY103" s="69"/>
      <c r="AZ103" s="69">
        <f t="shared" si="37"/>
        <v>4.707142857142856</v>
      </c>
      <c r="BA103" s="111">
        <f t="shared" si="38"/>
        <v>156.9432600732601</v>
      </c>
      <c r="BB103" s="111">
        <f t="shared" si="39"/>
        <v>118.13303571428571</v>
      </c>
      <c r="BC103" s="25">
        <f t="shared" si="40"/>
        <v>14.10889449701959</v>
      </c>
      <c r="BD103" s="80">
        <f>(('[1]setup'!$B$13*'[1]setup'!$B$14*'[1]setup'!$B$15)/10^(-S103))*10^6</f>
        <v>20.892663214167175</v>
      </c>
      <c r="BE103" s="74">
        <f t="shared" si="41"/>
        <v>19.903307135994297</v>
      </c>
      <c r="BF103" s="75">
        <f t="shared" si="42"/>
        <v>38.81022435897437</v>
      </c>
      <c r="BG103" s="73">
        <f t="shared" si="43"/>
        <v>157.51080467866865</v>
      </c>
      <c r="BH103" s="73">
        <f t="shared" si="44"/>
        <v>158.9290060644472</v>
      </c>
      <c r="BI103" s="76">
        <f t="shared" si="45"/>
        <v>0.448174135374467</v>
      </c>
      <c r="BJ103" s="59"/>
      <c r="BK103" s="81">
        <f>(3*('[1]setup'!$D$19*(10^-S103)^3)+2*('[1]setup'!$D$20*'[1]setup'!$D$19*((10^-S103)^2))+('[1]setup'!$D$21*'[1]setup'!$D$19*10^-S103)+('[1]setup'!$D$19*'[1]setup'!$D$22*(AP103/(10^6*2))*(10^-S103)^3))*10^6</f>
        <v>0.0007607834124093197</v>
      </c>
      <c r="BL103" s="82">
        <f t="shared" si="46"/>
        <v>18.485866533628155</v>
      </c>
      <c r="BM103" s="75">
        <f>(BL103/((('[1]setup'!$C$26)/10^-S103)+2*(('[1]setup'!$C$26*'[1]setup'!$C$27)/(10^-S103^2))+3*(('[1]setup'!$C$26*'[1]setup'!$C$27*'[1]setup'!$C$28)/(10^-S103^3))))/(10^-S103^3/(10^-S103^3+'[1]setup'!$C$26*10^-S103^2+'[1]setup'!$C$26*'[1]setup'!$C$27*10^-S103+'[1]setup'!$C$26*'[1]setup'!$C$27*'[1]setup'!$C$28))</f>
        <v>7.820792835430175</v>
      </c>
      <c r="BN103" s="75"/>
      <c r="BO103" s="137">
        <f t="shared" si="47"/>
        <v>156.9432600732601</v>
      </c>
      <c r="BP103" s="137">
        <f t="shared" si="48"/>
        <v>118.13303571428571</v>
      </c>
      <c r="BQ103" s="137">
        <f t="shared" si="49"/>
        <v>1.328529814918496</v>
      </c>
      <c r="BR103" s="137">
        <f t="shared" si="50"/>
        <v>38.09593864468866</v>
      </c>
      <c r="BS103" s="137">
        <f t="shared" si="51"/>
        <v>1.3243938280675975</v>
      </c>
    </row>
    <row r="104" spans="1:71" ht="12.75">
      <c r="A104" s="192">
        <v>40631</v>
      </c>
      <c r="B104" s="177">
        <v>15.3</v>
      </c>
      <c r="C104" s="193" t="s">
        <v>90</v>
      </c>
      <c r="D104" s="194">
        <v>1059810</v>
      </c>
      <c r="E104" s="36"/>
      <c r="F104" s="134">
        <v>0.006</v>
      </c>
      <c r="G104" s="134">
        <v>0.002236</v>
      </c>
      <c r="H104" s="134">
        <v>0.03303</v>
      </c>
      <c r="I104" s="134">
        <v>1.269</v>
      </c>
      <c r="J104" s="152">
        <v>0.03</v>
      </c>
      <c r="K104" s="165">
        <v>0.0255</v>
      </c>
      <c r="L104" s="152">
        <v>0.005</v>
      </c>
      <c r="M104" s="134">
        <v>0.2227</v>
      </c>
      <c r="N104" s="134">
        <v>0.5152</v>
      </c>
      <c r="O104" s="134">
        <v>0.2715</v>
      </c>
      <c r="P104" s="134">
        <v>2.943</v>
      </c>
      <c r="Q104" s="165">
        <v>0.5207</v>
      </c>
      <c r="R104" s="165">
        <v>2.746</v>
      </c>
      <c r="S104" s="134">
        <v>6.105</v>
      </c>
      <c r="T104" s="134">
        <v>18</v>
      </c>
      <c r="U104" s="134">
        <v>19.98</v>
      </c>
      <c r="V104" s="134">
        <v>0.05</v>
      </c>
      <c r="W104" s="134"/>
      <c r="X104" s="134">
        <v>0.002</v>
      </c>
      <c r="Y104" s="134">
        <v>0.002</v>
      </c>
      <c r="Z104" s="195">
        <v>2.021</v>
      </c>
      <c r="AA104" s="195">
        <v>0.1381</v>
      </c>
      <c r="AB104" s="179">
        <v>0.0826</v>
      </c>
      <c r="AC104" s="36"/>
      <c r="AD104" s="143">
        <v>0.08683</v>
      </c>
      <c r="AE104" s="180">
        <f t="shared" si="52"/>
        <v>0.2142857142857143</v>
      </c>
      <c r="AF104" s="181">
        <f t="shared" si="53"/>
        <v>0.08130909090909091</v>
      </c>
      <c r="AG104" s="181">
        <f t="shared" si="54"/>
        <v>3.6699999999999995</v>
      </c>
      <c r="AH104" s="181">
        <f t="shared" si="55"/>
        <v>181.28571428571428</v>
      </c>
      <c r="AI104" s="181">
        <f t="shared" si="56"/>
        <v>2.142857142857143</v>
      </c>
      <c r="AJ104" s="181">
        <f t="shared" si="57"/>
        <v>1.8214285714285712</v>
      </c>
      <c r="AK104" s="181">
        <f t="shared" si="58"/>
        <v>0.4838709677419355</v>
      </c>
      <c r="AL104" s="181">
        <f t="shared" si="59"/>
        <v>5.71025641025641</v>
      </c>
      <c r="AM104" s="181">
        <f t="shared" si="60"/>
        <v>25.759999999999998</v>
      </c>
      <c r="AN104" s="181">
        <f t="shared" si="61"/>
        <v>22.625000000000004</v>
      </c>
      <c r="AO104" s="181">
        <f t="shared" si="62"/>
        <v>127.95652173913044</v>
      </c>
      <c r="AP104" s="181">
        <f t="shared" si="63"/>
        <v>32.54375</v>
      </c>
      <c r="AQ104" s="181">
        <f t="shared" si="64"/>
        <v>78.45714285714286</v>
      </c>
      <c r="AR104" s="182">
        <f t="shared" si="34"/>
        <v>0.785235634610071</v>
      </c>
      <c r="AS104" s="181">
        <f t="shared" si="65"/>
        <v>4.838709677419355</v>
      </c>
      <c r="AT104" s="181"/>
      <c r="AU104" s="181">
        <f t="shared" si="66"/>
        <v>0.06349206349206349</v>
      </c>
      <c r="AV104" s="181">
        <f t="shared" si="67"/>
        <v>0.061538461538461535</v>
      </c>
      <c r="AW104" s="180">
        <f t="shared" si="35"/>
        <v>9.864285714285714</v>
      </c>
      <c r="AX104" s="182">
        <f t="shared" si="36"/>
        <v>5.9</v>
      </c>
      <c r="AY104" s="182"/>
      <c r="AZ104" s="182">
        <f t="shared" si="37"/>
        <v>3.964285714285714</v>
      </c>
      <c r="BA104" s="183">
        <f t="shared" si="38"/>
        <v>184.194635292244</v>
      </c>
      <c r="BB104" s="183">
        <f t="shared" si="39"/>
        <v>112.82232142857143</v>
      </c>
      <c r="BC104" s="184">
        <f t="shared" si="40"/>
        <v>24.029710172661893</v>
      </c>
      <c r="BD104" s="163">
        <f>(('[1]setup'!$B$13*'[1]setup'!$B$14*'[1]setup'!$B$15)/10^(-S104))*10^6</f>
        <v>15.10058608802988</v>
      </c>
      <c r="BE104" s="185">
        <f t="shared" si="41"/>
        <v>18.735655678594917</v>
      </c>
      <c r="BF104" s="186">
        <f t="shared" si="42"/>
        <v>71.37231386367256</v>
      </c>
      <c r="BG104" s="187">
        <f t="shared" si="43"/>
        <v>184.97987092685406</v>
      </c>
      <c r="BH104" s="187">
        <f t="shared" si="44"/>
        <v>146.65856319519622</v>
      </c>
      <c r="BI104" s="179">
        <f t="shared" si="45"/>
        <v>11.555146746819686</v>
      </c>
      <c r="BJ104" s="188"/>
      <c r="BK104" s="123">
        <f>(3*('[1]setup'!$D$19*(10^-S104)^3)+2*('[1]setup'!$D$20*'[1]setup'!$D$19*((10^-S104)^2))+('[1]setup'!$D$21*'[1]setup'!$D$19*10^-S104)+('[1]setup'!$D$19*'[1]setup'!$D$22*(AP104/(10^6*2))*(10^-S104)^3))*10^6</f>
        <v>0.0012325212853357519</v>
      </c>
      <c r="BL104" s="189">
        <f t="shared" si="46"/>
        <v>57.058195931538094</v>
      </c>
      <c r="BM104" s="75">
        <f>(BL104/((('[1]setup'!$C$26)/10^-S104)+2*(('[1]setup'!$C$26*'[1]setup'!$C$27)/(10^-S104^2))+3*(('[1]setup'!$C$26*'[1]setup'!$C$27*'[1]setup'!$C$28)/(10^-S104^3))))/(10^-S104^3/(10^-S104^3+'[1]setup'!$C$26*10^-S104^2+'[1]setup'!$C$26*'[1]setup'!$C$27*10^-S104+'[1]setup'!$C$26*'[1]setup'!$C$27*'[1]setup'!$C$28))</f>
        <v>24.98551210225811</v>
      </c>
      <c r="BN104" s="75"/>
      <c r="BO104" s="137">
        <f t="shared" si="47"/>
        <v>184.194635292244</v>
      </c>
      <c r="BP104" s="137">
        <f t="shared" si="48"/>
        <v>112.82232142857143</v>
      </c>
      <c r="BQ104" s="137">
        <f t="shared" si="49"/>
        <v>1.6326080952771287</v>
      </c>
      <c r="BR104" s="137">
        <f t="shared" si="50"/>
        <v>69.22945672081542</v>
      </c>
      <c r="BS104" s="137">
        <f t="shared" si="51"/>
        <v>1.6309097818170304</v>
      </c>
    </row>
    <row r="105" spans="1:28" s="12" customFormat="1" ht="12.75">
      <c r="A105" s="13"/>
      <c r="B105" s="161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"/>
    </row>
    <row r="106" spans="22:24" ht="12.75">
      <c r="V106" s="172"/>
      <c r="W106" s="172"/>
      <c r="X106" s="172"/>
    </row>
  </sheetData>
  <sheetProtection/>
  <dataValidations count="1">
    <dataValidation operator="greaterThanOrEqual" allowBlank="1" showInputMessage="1" showErrorMessage="1" sqref="O81:P81 T83:U84 S65 M81 S67 M67:M68 S77:U78 F81:G81 V81 F36:F38 M33 F33 O36:O37 S36:U36 M36:M38 S37:T37 W50 S41:U42 O33:P33 L6 J6 S54:T54 E52 X46 F46 N46 S45:T45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7" sqref="S27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0:P21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7" sqref="Q27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6384" width="9.140625" style="11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D. Miller</dc:creator>
  <cp:keywords/>
  <dc:description/>
  <cp:lastModifiedBy>Sheila Gibbs</cp:lastModifiedBy>
  <cp:lastPrinted>2008-07-25T15:44:27Z</cp:lastPrinted>
  <dcterms:created xsi:type="dcterms:W3CDTF">2007-01-12T09:38:48Z</dcterms:created>
  <dcterms:modified xsi:type="dcterms:W3CDTF">2012-02-03T11:37:25Z</dcterms:modified>
  <cp:category/>
  <cp:version/>
  <cp:contentType/>
  <cp:contentStatus/>
</cp:coreProperties>
</file>