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Stream Gauge 7 data" sheetId="1" state="hidden" r:id="rId1"/>
    <sheet name="Al" sheetId="2" r:id="rId2"/>
    <sheet name="Alkalinity" sheetId="3" r:id="rId3"/>
    <sheet name="Ca" sheetId="4" r:id="rId4"/>
    <sheet name="Cation to Anion ratio" sheetId="5" r:id="rId5"/>
    <sheet name="Cl" sheetId="6" r:id="rId6"/>
    <sheet name="Conductivity" sheetId="7" r:id="rId7"/>
    <sheet name="Cu" sheetId="8" r:id="rId8"/>
    <sheet name="DOC" sheetId="9" r:id="rId9"/>
    <sheet name="Fe" sheetId="10" r:id="rId10"/>
    <sheet name="H" sheetId="11" r:id="rId11"/>
    <sheet name="Inorganic N" sheetId="12" r:id="rId12"/>
    <sheet name="K" sheetId="13" r:id="rId13"/>
    <sheet name="Mg" sheetId="14" r:id="rId14"/>
    <sheet name="Mn" sheetId="15" r:id="rId15"/>
    <sheet name="Na" sheetId="16" r:id="rId16"/>
    <sheet name="Na to Cl ratio" sheetId="17" r:id="rId17"/>
    <sheet name="NH4-N" sheetId="18" r:id="rId18"/>
    <sheet name="NO3-N" sheetId="19" r:id="rId19"/>
    <sheet name="pH" sheetId="20" r:id="rId20"/>
    <sheet name="P" sheetId="21" r:id="rId21"/>
    <sheet name="PO4-P" sheetId="22" r:id="rId22"/>
    <sheet name="S" sheetId="23" r:id="rId23"/>
    <sheet name="Si" sheetId="24" r:id="rId24"/>
    <sheet name="SO4-S" sheetId="25" r:id="rId25"/>
    <sheet name="Total Anions" sheetId="26" r:id="rId26"/>
    <sheet name="Total Cations" sheetId="27" r:id="rId27"/>
    <sheet name="Zn" sheetId="28" r:id="rId28"/>
  </sheets>
  <externalReferences>
    <externalReference r:id="rId31"/>
    <externalReference r:id="rId32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comments1.xml><?xml version="1.0" encoding="utf-8"?>
<comments xmlns="http://schemas.openxmlformats.org/spreadsheetml/2006/main">
  <authors>
    <author> </author>
    <author>Macaulay Institute</author>
    <author>Sheila Gibbs</author>
  </authors>
  <commentList>
    <comment ref="T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High conductivity for blanks for following dates:-27th March'07, 10th April'07,24th April'07</t>
        </r>
      </text>
    </comment>
    <comment ref="A6" authorId="1">
      <text>
        <r>
          <rPr>
            <b/>
            <sz val="8"/>
            <rFont val="Tahoma"/>
            <family val="2"/>
          </rPr>
          <t>Sheila Gibbs:These are det limits set in place(13/12/06) for all Mharcaidh data -historical(Jo's) &amp; montane project.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If the dl set is higher than original dl, any data still lying between the two has been changed in cell to = dl.</t>
        </r>
      </text>
    </comment>
    <comment ref="K26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0.056</t>
        </r>
      </text>
    </comment>
    <comment ref="Y3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DOC analysed on Skaler by Yvonne</t>
        </r>
      </text>
    </comment>
    <comment ref="Y3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DOC not UKAS accredited</t>
        </r>
      </text>
    </comment>
    <comment ref="Z3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TN analysed on Skaler by Yvonne</t>
        </r>
      </text>
    </comment>
    <comment ref="Z31" authorId="0">
      <text>
        <r>
          <rPr>
            <sz val="8"/>
            <rFont val="Tahoma"/>
            <family val="2"/>
          </rPr>
          <t>Total N not UKAS accredited</t>
        </r>
      </text>
    </comment>
    <comment ref="AK26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5.4194</t>
        </r>
      </text>
    </comment>
    <comment ref="BC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SUM AA is missing then SUM BC has been deleted</t>
        </r>
      </text>
    </comment>
    <comment ref="BD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SUM BC missing then SUM AA has been deleted</t>
        </r>
      </text>
    </comment>
    <comment ref="BI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anions missing then cations have been deleted</t>
        </r>
      </text>
    </comment>
    <comment ref="BJ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cations missing then anions have been deleted</t>
        </r>
      </text>
    </comment>
    <comment ref="AD4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F analysis carried out after Icelandic volcanic eruption in April'10. Columns replaced on dionex so det limit changes from &lt;0.05 to &lt;0.006 from Aug'10 onwards</t>
        </r>
      </text>
    </comment>
    <comment ref="B80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 </t>
        </r>
      </text>
    </comment>
    <comment ref="B97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 </t>
        </r>
      </text>
    </comment>
    <comment ref="V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S not accurate due to N &amp; O interference on the ICP-MS from 10th April'07 onwards. S not reported by analytical from 14th Oct'08 onwards.See Mharcaidh montane water chemistry (RAW DATA) for any reported data.</t>
        </r>
      </text>
    </comment>
    <comment ref="AT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S not accurate due to N &amp; O interference on the ICP-MS from 10th April'07 onwards. S not reported by analytical from 14th Oct'08 onwards.See Mharcaidh montane water chemistry (RAW DATA) for any reported data.</t>
        </r>
      </text>
    </comment>
    <comment ref="BQ4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If Total Anions missing then Total Cations have been deleted</t>
        </r>
      </text>
    </comment>
    <comment ref="BR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Total Cations missing then Total Anions have been deleted</t>
        </r>
      </text>
    </comment>
    <comment ref="J96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0.619</t>
        </r>
      </text>
    </comment>
    <comment ref="AJ96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44.2429</t>
        </r>
      </text>
    </comment>
  </commentList>
</comments>
</file>

<file path=xl/sharedStrings.xml><?xml version="1.0" encoding="utf-8"?>
<sst xmlns="http://schemas.openxmlformats.org/spreadsheetml/2006/main" count="220" uniqueCount="69">
  <si>
    <t>Mharcaidh Montane Project</t>
  </si>
  <si>
    <t>Cells with fill colour red contain values which have been deleted from further analysis.</t>
  </si>
  <si>
    <t>Click on cell to view deleted data.</t>
  </si>
  <si>
    <t>Date</t>
  </si>
  <si>
    <t>Site Name</t>
  </si>
  <si>
    <t>Bible Nos</t>
  </si>
  <si>
    <t>Volume</t>
  </si>
  <si>
    <t>Fe</t>
  </si>
  <si>
    <t>Mn</t>
  </si>
  <si>
    <t>Al</t>
  </si>
  <si>
    <t>Si</t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</si>
  <si>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</si>
  <si>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</t>
    </r>
  </si>
  <si>
    <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-P</t>
    </r>
  </si>
  <si>
    <t>K</t>
  </si>
  <si>
    <t>Ca</t>
  </si>
  <si>
    <t>Mg</t>
  </si>
  <si>
    <t>Na</t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</si>
  <si>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-S</t>
    </r>
  </si>
  <si>
    <t>Cl</t>
  </si>
  <si>
    <t>pH</t>
  </si>
  <si>
    <t>Temp</t>
  </si>
  <si>
    <t>Cond</t>
  </si>
  <si>
    <t>P</t>
  </si>
  <si>
    <t>S</t>
  </si>
  <si>
    <t>Cu</t>
  </si>
  <si>
    <t>Zn</t>
  </si>
  <si>
    <t>DOC</t>
  </si>
  <si>
    <t>Total N(filtered)</t>
  </si>
  <si>
    <t>Org N(calc)</t>
  </si>
  <si>
    <t>Total N(unfiltered)</t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</si>
  <si>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</si>
  <si>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</t>
    </r>
  </si>
  <si>
    <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-P</t>
    </r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</si>
  <si>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-S</t>
    </r>
  </si>
  <si>
    <t>H</t>
  </si>
  <si>
    <r>
      <t>Inorg N (NH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-N+NO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-N)</t>
    </r>
  </si>
  <si>
    <t>COMMENTS</t>
  </si>
  <si>
    <t>mls</t>
  </si>
  <si>
    <r>
      <t>mgl</t>
    </r>
    <r>
      <rPr>
        <b/>
        <vertAlign val="superscript"/>
        <sz val="10"/>
        <rFont val="Arial"/>
        <family val="2"/>
      </rPr>
      <t>-1</t>
    </r>
  </si>
  <si>
    <r>
      <t>mgl</t>
    </r>
    <r>
      <rPr>
        <b/>
        <vertAlign val="superscript"/>
        <sz val="10"/>
        <rFont val="Arial"/>
        <family val="2"/>
      </rPr>
      <t>-1</t>
    </r>
  </si>
  <si>
    <r>
      <t>o</t>
    </r>
    <r>
      <rPr>
        <b/>
        <sz val="10"/>
        <rFont val="Arial"/>
        <family val="2"/>
      </rPr>
      <t>C</t>
    </r>
  </si>
  <si>
    <t>uS/cm</t>
  </si>
  <si>
    <r>
      <t>ueql</t>
    </r>
    <r>
      <rPr>
        <b/>
        <vertAlign val="superscript"/>
        <sz val="10"/>
        <rFont val="Arial"/>
        <family val="2"/>
      </rPr>
      <t>-1</t>
    </r>
  </si>
  <si>
    <r>
      <t>ueql</t>
    </r>
    <r>
      <rPr>
        <b/>
        <vertAlign val="superscript"/>
        <sz val="10"/>
        <rFont val="Arial"/>
        <family val="2"/>
      </rPr>
      <t>-1</t>
    </r>
  </si>
  <si>
    <t>Detection Limits</t>
  </si>
  <si>
    <t>G7 (Stream)</t>
  </si>
  <si>
    <t>%</t>
  </si>
  <si>
    <t>µmolc L–1</t>
  </si>
  <si>
    <t>µmol L–1</t>
  </si>
  <si>
    <t>Sum BC</t>
  </si>
  <si>
    <t>Sum AA</t>
  </si>
  <si>
    <t>EXC</t>
  </si>
  <si>
    <t>HCO3</t>
  </si>
  <si>
    <t>ORG-OLV</t>
  </si>
  <si>
    <t>ANC</t>
  </si>
  <si>
    <t>CATION</t>
  </si>
  <si>
    <t>ANION</t>
  </si>
  <si>
    <t>ALTOT</t>
  </si>
  <si>
    <t>ORGCHG</t>
  </si>
  <si>
    <t>mDOC</t>
  </si>
  <si>
    <t>Stream Gauge 7 (STREAM)</t>
  </si>
  <si>
    <t>F</t>
  </si>
  <si>
    <t>&lt;0.05</t>
  </si>
  <si>
    <t>Total Cations</t>
  </si>
  <si>
    <t>Total Anions</t>
  </si>
  <si>
    <t>C:A</t>
  </si>
  <si>
    <t>Alkalinity</t>
  </si>
  <si>
    <t>Na:Cl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</si>
</sst>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00000"/>
    <numFmt numFmtId="167" formatCode="[$-809]dd\ mmmm\ 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"/>
    <numFmt numFmtId="177" formatCode="0.00000"/>
    <numFmt numFmtId="178" formatCode="0.0"/>
    <numFmt numFmtId="179" formatCode="&quot;$&quot;#,##0.00"/>
    <numFmt numFmtId="180" formatCode="mmmm\ d\,\ yyyy"/>
    <numFmt numFmtId="181" formatCode="d\-mmm\-yyyy"/>
    <numFmt numFmtId="182" formatCode="mmm\-yyyy"/>
    <numFmt numFmtId="183" formatCode="0.0%"/>
    <numFmt numFmtId="184" formatCode="0_)"/>
    <numFmt numFmtId="185" formatCode="0.00%_)"/>
    <numFmt numFmtId="186" formatCode="[$-409]dddd\,\ mmmm\ dd\,\ yyyy"/>
    <numFmt numFmtId="187" formatCode="m/d/yyyy_)"/>
    <numFmt numFmtId="188" formatCode="0.00?%_)"/>
    <numFmt numFmtId="189" formatCode="0.0??%_)"/>
    <numFmt numFmtId="190" formatCode="yyyy"/>
    <numFmt numFmtId="191" formatCode="0.####"/>
    <numFmt numFmtId="192" formatCode="0.#"/>
    <numFmt numFmtId="193" formatCode="0.###"/>
    <numFmt numFmtId="194" formatCode="0.##"/>
    <numFmt numFmtId="195" formatCode="0.#####"/>
    <numFmt numFmtId="196" formatCode="0.########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4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1"/>
      <color indexed="14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color indexed="14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i/>
      <sz val="8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vertAlign val="subscript"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left"/>
    </xf>
    <xf numFmtId="15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/>
    </xf>
    <xf numFmtId="164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164" fontId="0" fillId="33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5" fontId="0" fillId="0" borderId="0" xfId="0" applyNumberFormat="1" applyFont="1" applyFill="1" applyAlignment="1">
      <alignment horizontal="right"/>
    </xf>
    <xf numFmtId="15" fontId="0" fillId="0" borderId="0" xfId="0" applyNumberFormat="1" applyFont="1" applyAlignment="1">
      <alignment horizontal="right"/>
    </xf>
    <xf numFmtId="0" fontId="6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93" fontId="0" fillId="0" borderId="0" xfId="0" applyNumberFormat="1" applyFont="1" applyFill="1" applyBorder="1" applyAlignment="1" applyProtection="1">
      <alignment horizontal="center"/>
      <protection/>
    </xf>
    <xf numFmtId="19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5" fontId="6" fillId="0" borderId="0" xfId="56" applyNumberFormat="1" applyFont="1" applyFill="1" applyBorder="1" applyAlignment="1" applyProtection="1">
      <alignment horizontal="center"/>
      <protection/>
    </xf>
    <xf numFmtId="1" fontId="0" fillId="0" borderId="0" xfId="56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164" fontId="0" fillId="0" borderId="0" xfId="56" applyNumberFormat="1" applyAlignment="1">
      <alignment horizontal="center"/>
      <protection/>
    </xf>
    <xf numFmtId="164" fontId="0" fillId="0" borderId="0" xfId="56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165" fontId="14" fillId="0" borderId="0" xfId="0" applyNumberFormat="1" applyFont="1" applyAlignment="1">
      <alignment horizontal="center"/>
    </xf>
    <xf numFmtId="1" fontId="62" fillId="0" borderId="0" xfId="0" applyNumberFormat="1" applyFont="1" applyFill="1" applyAlignment="1">
      <alignment horizontal="center"/>
    </xf>
    <xf numFmtId="165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55" applyNumberFormat="1" applyAlignment="1">
      <alignment horizontal="center"/>
      <protection/>
    </xf>
    <xf numFmtId="164" fontId="0" fillId="0" borderId="0" xfId="56" applyNumberFormat="1" applyFont="1" applyBorder="1" applyAlignment="1">
      <alignment horizontal="center"/>
      <protection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36" borderId="0" xfId="0" applyNumberFormat="1" applyFont="1" applyFill="1" applyBorder="1" applyAlignment="1" applyProtection="1">
      <alignment horizontal="center"/>
      <protection/>
    </xf>
    <xf numFmtId="165" fontId="6" fillId="3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 page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data'!$AG$8:$AG$98</c:f>
              <c:numCache>
                <c:ptCount val="91"/>
                <c:pt idx="0">
                  <c:v>3.8777777777777778</c:v>
                </c:pt>
                <c:pt idx="1">
                  <c:v>8.488888888888887</c:v>
                </c:pt>
                <c:pt idx="2">
                  <c:v>2.2222222222222223</c:v>
                </c:pt>
                <c:pt idx="3">
                  <c:v>2.2222222222222223</c:v>
                </c:pt>
                <c:pt idx="4">
                  <c:v>2.2222222222222223</c:v>
                </c:pt>
                <c:pt idx="5">
                  <c:v>2.2222222222222223</c:v>
                </c:pt>
                <c:pt idx="6">
                  <c:v>2.2222222222222223</c:v>
                </c:pt>
                <c:pt idx="7">
                  <c:v>2.2222222222222223</c:v>
                </c:pt>
                <c:pt idx="8">
                  <c:v>4.388888888888889</c:v>
                </c:pt>
                <c:pt idx="9">
                  <c:v>8.144444444444444</c:v>
                </c:pt>
                <c:pt idx="11">
                  <c:v>9.21111111111111</c:v>
                </c:pt>
                <c:pt idx="12">
                  <c:v>2.2555555555555555</c:v>
                </c:pt>
                <c:pt idx="14">
                  <c:v>2.2222222222222223</c:v>
                </c:pt>
                <c:pt idx="15">
                  <c:v>2.9444444444444438</c:v>
                </c:pt>
                <c:pt idx="16">
                  <c:v>3.4666666666666663</c:v>
                </c:pt>
                <c:pt idx="17">
                  <c:v>2.6333333333333333</c:v>
                </c:pt>
                <c:pt idx="18">
                  <c:v>3.5444444444444447</c:v>
                </c:pt>
                <c:pt idx="19">
                  <c:v>5.855555555555555</c:v>
                </c:pt>
                <c:pt idx="20">
                  <c:v>2.7222222222222223</c:v>
                </c:pt>
                <c:pt idx="21">
                  <c:v>2.388888888888889</c:v>
                </c:pt>
                <c:pt idx="22">
                  <c:v>2.2222222222222223</c:v>
                </c:pt>
                <c:pt idx="23">
                  <c:v>2.2222222222222223</c:v>
                </c:pt>
                <c:pt idx="25">
                  <c:v>4.633333333333333</c:v>
                </c:pt>
                <c:pt idx="26">
                  <c:v>6.7666666666666675</c:v>
                </c:pt>
                <c:pt idx="27">
                  <c:v>2.2222222222222223</c:v>
                </c:pt>
                <c:pt idx="28">
                  <c:v>6.200000000000001</c:v>
                </c:pt>
                <c:pt idx="29">
                  <c:v>2.2222222222222223</c:v>
                </c:pt>
                <c:pt idx="30">
                  <c:v>4</c:v>
                </c:pt>
                <c:pt idx="31">
                  <c:v>7.444444444444445</c:v>
                </c:pt>
                <c:pt idx="32">
                  <c:v>11.733333333333333</c:v>
                </c:pt>
                <c:pt idx="33">
                  <c:v>2.2222222222222223</c:v>
                </c:pt>
                <c:pt idx="34">
                  <c:v>2.888888888888889</c:v>
                </c:pt>
                <c:pt idx="35">
                  <c:v>3.3</c:v>
                </c:pt>
                <c:pt idx="36">
                  <c:v>2.2222222222222223</c:v>
                </c:pt>
                <c:pt idx="37">
                  <c:v>2.2222222222222223</c:v>
                </c:pt>
                <c:pt idx="38">
                  <c:v>2.2222222222222223</c:v>
                </c:pt>
                <c:pt idx="39">
                  <c:v>2.2222222222222223</c:v>
                </c:pt>
                <c:pt idx="40">
                  <c:v>4.27</c:v>
                </c:pt>
                <c:pt idx="41">
                  <c:v>2.2222222222222223</c:v>
                </c:pt>
                <c:pt idx="42">
                  <c:v>2.2222222222222223</c:v>
                </c:pt>
                <c:pt idx="43">
                  <c:v>2.2222222222222223</c:v>
                </c:pt>
                <c:pt idx="44">
                  <c:v>7.145555555555556</c:v>
                </c:pt>
                <c:pt idx="45">
                  <c:v>2.2222222222222223</c:v>
                </c:pt>
                <c:pt idx="46">
                  <c:v>2.2222222222222223</c:v>
                </c:pt>
                <c:pt idx="47">
                  <c:v>2.2222222222222223</c:v>
                </c:pt>
                <c:pt idx="48">
                  <c:v>2.2222222222222223</c:v>
                </c:pt>
                <c:pt idx="49">
                  <c:v>2.3299999999999996</c:v>
                </c:pt>
                <c:pt idx="50">
                  <c:v>3.36</c:v>
                </c:pt>
                <c:pt idx="51">
                  <c:v>2.2222222222222223</c:v>
                </c:pt>
                <c:pt idx="52">
                  <c:v>8.084444444444445</c:v>
                </c:pt>
                <c:pt idx="53">
                  <c:v>2.2222222222222223</c:v>
                </c:pt>
                <c:pt idx="54">
                  <c:v>3.9066666666666667</c:v>
                </c:pt>
                <c:pt idx="55">
                  <c:v>2.2222222222222223</c:v>
                </c:pt>
                <c:pt idx="56">
                  <c:v>2.228888888888889</c:v>
                </c:pt>
                <c:pt idx="57">
                  <c:v>8.748888888888889</c:v>
                </c:pt>
                <c:pt idx="58">
                  <c:v>3.0933333333333333</c:v>
                </c:pt>
                <c:pt idx="59">
                  <c:v>2.888888888888889</c:v>
                </c:pt>
                <c:pt idx="60">
                  <c:v>4.07</c:v>
                </c:pt>
                <c:pt idx="61">
                  <c:v>3.2444444444444445</c:v>
                </c:pt>
                <c:pt idx="62">
                  <c:v>3.331111111111111</c:v>
                </c:pt>
                <c:pt idx="63">
                  <c:v>2.2222222222222223</c:v>
                </c:pt>
                <c:pt idx="64">
                  <c:v>2.2222222222222223</c:v>
                </c:pt>
                <c:pt idx="65">
                  <c:v>2.2222222222222223</c:v>
                </c:pt>
                <c:pt idx="66">
                  <c:v>2.2222222222222223</c:v>
                </c:pt>
                <c:pt idx="67">
                  <c:v>3.3455555555555554</c:v>
                </c:pt>
                <c:pt idx="68">
                  <c:v>2.2222222222222223</c:v>
                </c:pt>
                <c:pt idx="69">
                  <c:v>3.5955555555555554</c:v>
                </c:pt>
                <c:pt idx="70">
                  <c:v>2.2222222222222223</c:v>
                </c:pt>
                <c:pt idx="71">
                  <c:v>2.2222222222222223</c:v>
                </c:pt>
                <c:pt idx="73">
                  <c:v>3.7100000000000004</c:v>
                </c:pt>
                <c:pt idx="74">
                  <c:v>5.504444444444444</c:v>
                </c:pt>
                <c:pt idx="75">
                  <c:v>5.037777777777778</c:v>
                </c:pt>
                <c:pt idx="76">
                  <c:v>2.2222222222222223</c:v>
                </c:pt>
                <c:pt idx="77">
                  <c:v>2.5777777777777775</c:v>
                </c:pt>
                <c:pt idx="78">
                  <c:v>15.266666666666664</c:v>
                </c:pt>
                <c:pt idx="79">
                  <c:v>2.752222222222222</c:v>
                </c:pt>
                <c:pt idx="80">
                  <c:v>10.3</c:v>
                </c:pt>
                <c:pt idx="81">
                  <c:v>3.0566666666666666</c:v>
                </c:pt>
                <c:pt idx="82">
                  <c:v>3.1333333333333333</c:v>
                </c:pt>
                <c:pt idx="83">
                  <c:v>2.752222222222222</c:v>
                </c:pt>
                <c:pt idx="84">
                  <c:v>2.5522222222222224</c:v>
                </c:pt>
                <c:pt idx="85">
                  <c:v>2.667777777777778</c:v>
                </c:pt>
                <c:pt idx="86">
                  <c:v>2.8666666666666667</c:v>
                </c:pt>
                <c:pt idx="87">
                  <c:v>6.4</c:v>
                </c:pt>
                <c:pt idx="88">
                  <c:v>9.003333333333334</c:v>
                </c:pt>
                <c:pt idx="90">
                  <c:v>3.336666666666667</c:v>
                </c:pt>
              </c:numCache>
            </c:numRef>
          </c:val>
          <c:smooth val="0"/>
        </c:ser>
        <c:marker val="1"/>
        <c:axId val="47643778"/>
        <c:axId val="26140819"/>
      </c:lineChart>
      <c:dateAx>
        <c:axId val="4764377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081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6140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377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Fe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data'!$AE$8:$AE$98</c:f>
              <c:numCache>
                <c:ptCount val="91"/>
                <c:pt idx="0">
                  <c:v>0.2142857142857143</c:v>
                </c:pt>
                <c:pt idx="1">
                  <c:v>0.31428571428571433</c:v>
                </c:pt>
                <c:pt idx="2">
                  <c:v>0.2142857142857143</c:v>
                </c:pt>
                <c:pt idx="3">
                  <c:v>0.2142857142857143</c:v>
                </c:pt>
                <c:pt idx="4">
                  <c:v>0.2142857142857143</c:v>
                </c:pt>
                <c:pt idx="5">
                  <c:v>0.2142857142857143</c:v>
                </c:pt>
                <c:pt idx="6">
                  <c:v>0.2142857142857143</c:v>
                </c:pt>
                <c:pt idx="7">
                  <c:v>0.2142857142857143</c:v>
                </c:pt>
                <c:pt idx="8">
                  <c:v>0.2142857142857143</c:v>
                </c:pt>
                <c:pt idx="9">
                  <c:v>0.2142857142857143</c:v>
                </c:pt>
                <c:pt idx="11">
                  <c:v>0.2142857142857143</c:v>
                </c:pt>
                <c:pt idx="12">
                  <c:v>0.2142857142857143</c:v>
                </c:pt>
                <c:pt idx="14">
                  <c:v>0.2142857142857143</c:v>
                </c:pt>
                <c:pt idx="15">
                  <c:v>0.2142857142857143</c:v>
                </c:pt>
                <c:pt idx="16">
                  <c:v>0.5785714285714285</c:v>
                </c:pt>
                <c:pt idx="17">
                  <c:v>0.2142857142857143</c:v>
                </c:pt>
                <c:pt idx="18">
                  <c:v>0.2142857142857143</c:v>
                </c:pt>
                <c:pt idx="19">
                  <c:v>0.22142857142857142</c:v>
                </c:pt>
                <c:pt idx="20">
                  <c:v>0.2142857142857143</c:v>
                </c:pt>
                <c:pt idx="21">
                  <c:v>0.2142857142857143</c:v>
                </c:pt>
                <c:pt idx="22">
                  <c:v>0.2142857142857143</c:v>
                </c:pt>
                <c:pt idx="23">
                  <c:v>0.2142857142857143</c:v>
                </c:pt>
                <c:pt idx="25">
                  <c:v>0.7142857142857143</c:v>
                </c:pt>
                <c:pt idx="26">
                  <c:v>0.2785714285714285</c:v>
                </c:pt>
                <c:pt idx="27">
                  <c:v>0.2142857142857143</c:v>
                </c:pt>
                <c:pt idx="28">
                  <c:v>0.2142857142857143</c:v>
                </c:pt>
                <c:pt idx="29">
                  <c:v>0.2142857142857143</c:v>
                </c:pt>
                <c:pt idx="30">
                  <c:v>0.2142857142857143</c:v>
                </c:pt>
                <c:pt idx="31">
                  <c:v>0.2142857142857143</c:v>
                </c:pt>
                <c:pt idx="32">
                  <c:v>0.6428571428571428</c:v>
                </c:pt>
                <c:pt idx="33">
                  <c:v>0.2142857142857143</c:v>
                </c:pt>
                <c:pt idx="34">
                  <c:v>0.2142857142857143</c:v>
                </c:pt>
                <c:pt idx="35">
                  <c:v>0.6071428571428572</c:v>
                </c:pt>
                <c:pt idx="36">
                  <c:v>0.2142857142857143</c:v>
                </c:pt>
                <c:pt idx="37">
                  <c:v>0.2142857142857143</c:v>
                </c:pt>
                <c:pt idx="38">
                  <c:v>0.2798928571428571</c:v>
                </c:pt>
                <c:pt idx="39">
                  <c:v>0.2142857142857143</c:v>
                </c:pt>
                <c:pt idx="40">
                  <c:v>0.2541785714285714</c:v>
                </c:pt>
                <c:pt idx="41">
                  <c:v>0.2142857142857143</c:v>
                </c:pt>
                <c:pt idx="42">
                  <c:v>0.2142857142857143</c:v>
                </c:pt>
                <c:pt idx="43">
                  <c:v>0.2142857142857143</c:v>
                </c:pt>
                <c:pt idx="44">
                  <c:v>0.3418214285714286</c:v>
                </c:pt>
                <c:pt idx="45">
                  <c:v>0.2142857142857143</c:v>
                </c:pt>
                <c:pt idx="46">
                  <c:v>0.2142857142857143</c:v>
                </c:pt>
                <c:pt idx="47">
                  <c:v>0.2142857142857143</c:v>
                </c:pt>
                <c:pt idx="48">
                  <c:v>0.2142857142857143</c:v>
                </c:pt>
                <c:pt idx="49">
                  <c:v>0.2142857142857143</c:v>
                </c:pt>
                <c:pt idx="50">
                  <c:v>0.2142857142857143</c:v>
                </c:pt>
                <c:pt idx="51">
                  <c:v>0.2142857142857143</c:v>
                </c:pt>
                <c:pt idx="52">
                  <c:v>0.2265</c:v>
                </c:pt>
                <c:pt idx="53">
                  <c:v>1.1092857142857144</c:v>
                </c:pt>
                <c:pt idx="54">
                  <c:v>1.14</c:v>
                </c:pt>
                <c:pt idx="55">
                  <c:v>1.2682142857142857</c:v>
                </c:pt>
                <c:pt idx="56">
                  <c:v>0.2142857142857143</c:v>
                </c:pt>
                <c:pt idx="57">
                  <c:v>0.2142857142857143</c:v>
                </c:pt>
                <c:pt idx="58">
                  <c:v>1.0967857142857145</c:v>
                </c:pt>
                <c:pt idx="59">
                  <c:v>0.2142857142857143</c:v>
                </c:pt>
                <c:pt idx="60">
                  <c:v>0.2142857142857143</c:v>
                </c:pt>
                <c:pt idx="61">
                  <c:v>0.2142857142857143</c:v>
                </c:pt>
                <c:pt idx="62">
                  <c:v>1.1292857142857144</c:v>
                </c:pt>
                <c:pt idx="63">
                  <c:v>0.2142857142857143</c:v>
                </c:pt>
                <c:pt idx="64">
                  <c:v>0.2142857142857143</c:v>
                </c:pt>
                <c:pt idx="65">
                  <c:v>0.2142857142857143</c:v>
                </c:pt>
                <c:pt idx="66">
                  <c:v>0.2142857142857143</c:v>
                </c:pt>
                <c:pt idx="67">
                  <c:v>0.2142857142857143</c:v>
                </c:pt>
                <c:pt idx="68">
                  <c:v>0.2142857142857143</c:v>
                </c:pt>
                <c:pt idx="69">
                  <c:v>0.2142857142857143</c:v>
                </c:pt>
                <c:pt idx="70">
                  <c:v>0.2142857142857143</c:v>
                </c:pt>
                <c:pt idx="71">
                  <c:v>0.2142857142857143</c:v>
                </c:pt>
                <c:pt idx="73">
                  <c:v>0.2142857142857143</c:v>
                </c:pt>
                <c:pt idx="74">
                  <c:v>1.1789285714285715</c:v>
                </c:pt>
                <c:pt idx="75">
                  <c:v>0.2142857142857143</c:v>
                </c:pt>
                <c:pt idx="76">
                  <c:v>0.2142857142857143</c:v>
                </c:pt>
                <c:pt idx="77">
                  <c:v>0.2142857142857143</c:v>
                </c:pt>
                <c:pt idx="78">
                  <c:v>1.4192857142857143</c:v>
                </c:pt>
                <c:pt idx="79">
                  <c:v>0.2142857142857143</c:v>
                </c:pt>
                <c:pt idx="80">
                  <c:v>1.7557142857142858</c:v>
                </c:pt>
                <c:pt idx="81">
                  <c:v>0.2142857142857143</c:v>
                </c:pt>
                <c:pt idx="82">
                  <c:v>0.2142857142857143</c:v>
                </c:pt>
                <c:pt idx="83">
                  <c:v>0.2142857142857143</c:v>
                </c:pt>
                <c:pt idx="84">
                  <c:v>0.2142857142857143</c:v>
                </c:pt>
                <c:pt idx="85">
                  <c:v>0.2142857142857143</c:v>
                </c:pt>
                <c:pt idx="86">
                  <c:v>0.2142857142857143</c:v>
                </c:pt>
                <c:pt idx="87">
                  <c:v>0.2142857142857143</c:v>
                </c:pt>
                <c:pt idx="88">
                  <c:v>0.2142857142857143</c:v>
                </c:pt>
                <c:pt idx="90">
                  <c:v>0.2142857142857143</c:v>
                </c:pt>
              </c:numCache>
            </c:numRef>
          </c:val>
          <c:smooth val="0"/>
        </c:ser>
        <c:marker val="1"/>
        <c:axId val="31779580"/>
        <c:axId val="17580765"/>
      </c:lineChart>
      <c:dateAx>
        <c:axId val="3177958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076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7580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7958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data'!$AR$8:$AR$98</c:f>
              <c:numCache>
                <c:ptCount val="91"/>
                <c:pt idx="0">
                  <c:v>0.7244359600749906</c:v>
                </c:pt>
                <c:pt idx="1">
                  <c:v>0.32359365692962805</c:v>
                </c:pt>
                <c:pt idx="2">
                  <c:v>0.25703957827688645</c:v>
                </c:pt>
                <c:pt idx="3">
                  <c:v>0.24547089156850282</c:v>
                </c:pt>
                <c:pt idx="4">
                  <c:v>0.30199517204020193</c:v>
                </c:pt>
                <c:pt idx="5">
                  <c:v>0.1995262314968878</c:v>
                </c:pt>
                <c:pt idx="6">
                  <c:v>0.4265795188015925</c:v>
                </c:pt>
                <c:pt idx="7">
                  <c:v>0.1995262314968878</c:v>
                </c:pt>
                <c:pt idx="8">
                  <c:v>0.2818382931264455</c:v>
                </c:pt>
                <c:pt idx="9">
                  <c:v>0.25703957827688645</c:v>
                </c:pt>
                <c:pt idx="11">
                  <c:v>0.27542287033381685</c:v>
                </c:pt>
                <c:pt idx="12">
                  <c:v>0.18620871366628652</c:v>
                </c:pt>
                <c:pt idx="14">
                  <c:v>0.16218100973589297</c:v>
                </c:pt>
                <c:pt idx="15">
                  <c:v>0.22387211385683375</c:v>
                </c:pt>
                <c:pt idx="16">
                  <c:v>0.22387211385683375</c:v>
                </c:pt>
                <c:pt idx="17">
                  <c:v>0.1412537544622755</c:v>
                </c:pt>
                <c:pt idx="18">
                  <c:v>0.22908676527677743</c:v>
                </c:pt>
                <c:pt idx="19">
                  <c:v>0.2511886431509582</c:v>
                </c:pt>
                <c:pt idx="20">
                  <c:v>0.23442288153199223</c:v>
                </c:pt>
                <c:pt idx="21">
                  <c:v>0.32359365692962805</c:v>
                </c:pt>
                <c:pt idx="22">
                  <c:v>0.1949844599758045</c:v>
                </c:pt>
                <c:pt idx="23">
                  <c:v>0.18620871366628652</c:v>
                </c:pt>
                <c:pt idx="25">
                  <c:v>0.3311311214825907</c:v>
                </c:pt>
                <c:pt idx="26">
                  <c:v>0.4365158322401656</c:v>
                </c:pt>
                <c:pt idx="27">
                  <c:v>0.2818382931264455</c:v>
                </c:pt>
                <c:pt idx="28">
                  <c:v>0.26302679918953814</c:v>
                </c:pt>
                <c:pt idx="29">
                  <c:v>0.15135612484362068</c:v>
                </c:pt>
                <c:pt idx="30">
                  <c:v>0.1949844599758045</c:v>
                </c:pt>
                <c:pt idx="31">
                  <c:v>0.21379620895022322</c:v>
                </c:pt>
                <c:pt idx="32">
                  <c:v>0.32359365692962805</c:v>
                </c:pt>
                <c:pt idx="33">
                  <c:v>0.18620871366628652</c:v>
                </c:pt>
                <c:pt idx="34">
                  <c:v>0.2691534803926914</c:v>
                </c:pt>
                <c:pt idx="35">
                  <c:v>0.31622776601683794</c:v>
                </c:pt>
                <c:pt idx="36">
                  <c:v>0.23442288153199223</c:v>
                </c:pt>
                <c:pt idx="37">
                  <c:v>0.18197008586099822</c:v>
                </c:pt>
                <c:pt idx="38">
                  <c:v>0.20892961308540403</c:v>
                </c:pt>
                <c:pt idx="39">
                  <c:v>0.21877616239495515</c:v>
                </c:pt>
                <c:pt idx="40">
                  <c:v>0.21877616239495515</c:v>
                </c:pt>
                <c:pt idx="41">
                  <c:v>0.18620871366628652</c:v>
                </c:pt>
                <c:pt idx="42">
                  <c:v>0.18620871366628652</c:v>
                </c:pt>
                <c:pt idx="43">
                  <c:v>0.27542287033381685</c:v>
                </c:pt>
                <c:pt idx="44">
                  <c:v>0.31622776601683794</c:v>
                </c:pt>
                <c:pt idx="45">
                  <c:v>0.1949844599758045</c:v>
                </c:pt>
                <c:pt idx="46">
                  <c:v>0.25703957827688645</c:v>
                </c:pt>
                <c:pt idx="47">
                  <c:v>0.24547089156850282</c:v>
                </c:pt>
                <c:pt idx="48">
                  <c:v>0.1995262314968878</c:v>
                </c:pt>
                <c:pt idx="49">
                  <c:v>0.22387211385683375</c:v>
                </c:pt>
                <c:pt idx="50">
                  <c:v>0.2691534803926914</c:v>
                </c:pt>
                <c:pt idx="51">
                  <c:v>0.1949844599758045</c:v>
                </c:pt>
                <c:pt idx="52">
                  <c:v>0.21379620895022322</c:v>
                </c:pt>
                <c:pt idx="53">
                  <c:v>0.1905460717963248</c:v>
                </c:pt>
                <c:pt idx="54">
                  <c:v>0.30199517204020193</c:v>
                </c:pt>
                <c:pt idx="55">
                  <c:v>0.26302679918953814</c:v>
                </c:pt>
                <c:pt idx="56">
                  <c:v>0.23988329190194896</c:v>
                </c:pt>
                <c:pt idx="57">
                  <c:v>0.40179081084893997</c:v>
                </c:pt>
                <c:pt idx="58">
                  <c:v>0.3365115693754908</c:v>
                </c:pt>
                <c:pt idx="59">
                  <c:v>0.3863669770540689</c:v>
                </c:pt>
                <c:pt idx="60">
                  <c:v>0.36140986263961306</c:v>
                </c:pt>
                <c:pt idx="61">
                  <c:v>0.4742419852602448</c:v>
                </c:pt>
                <c:pt idx="62">
                  <c:v>0.24490632418447467</c:v>
                </c:pt>
                <c:pt idx="63">
                  <c:v>0.17741894808901643</c:v>
                </c:pt>
                <c:pt idx="64">
                  <c:v>0.21086281499332885</c:v>
                </c:pt>
                <c:pt idx="65">
                  <c:v>0.16826740610704674</c:v>
                </c:pt>
                <c:pt idx="66">
                  <c:v>0.1972422736114853</c:v>
                </c:pt>
                <c:pt idx="67">
                  <c:v>0.685488226452662</c:v>
                </c:pt>
                <c:pt idx="68">
                  <c:v>0.1674942876026438</c:v>
                </c:pt>
                <c:pt idx="69">
                  <c:v>0.24660393372343406</c:v>
                </c:pt>
                <c:pt idx="70">
                  <c:v>0.18407720014689538</c:v>
                </c:pt>
                <c:pt idx="71">
                  <c:v>0.19275249131909364</c:v>
                </c:pt>
                <c:pt idx="73">
                  <c:v>0.3784425847170936</c:v>
                </c:pt>
                <c:pt idx="74">
                  <c:v>0.6576578373554198</c:v>
                </c:pt>
                <c:pt idx="75">
                  <c:v>0.6039486293763794</c:v>
                </c:pt>
                <c:pt idx="76">
                  <c:v>0.3564511334262439</c:v>
                </c:pt>
                <c:pt idx="77">
                  <c:v>0.3147748314101317</c:v>
                </c:pt>
                <c:pt idx="78">
                  <c:v>0.5395106225151278</c:v>
                </c:pt>
                <c:pt idx="79">
                  <c:v>0.20230191786782714</c:v>
                </c:pt>
                <c:pt idx="80">
                  <c:v>0.5116818355403073</c:v>
                </c:pt>
                <c:pt idx="81">
                  <c:v>0.20844908830972886</c:v>
                </c:pt>
                <c:pt idx="82">
                  <c:v>0.2877398414735667</c:v>
                </c:pt>
                <c:pt idx="83">
                  <c:v>0.23988329190194896</c:v>
                </c:pt>
                <c:pt idx="84">
                  <c:v>0.2477422057633286</c:v>
                </c:pt>
                <c:pt idx="85">
                  <c:v>0.26607250597988086</c:v>
                </c:pt>
                <c:pt idx="86">
                  <c:v>0.2624218543384439</c:v>
                </c:pt>
                <c:pt idx="87">
                  <c:v>0.41975898399100775</c:v>
                </c:pt>
                <c:pt idx="88">
                  <c:v>0.866961875758216</c:v>
                </c:pt>
                <c:pt idx="90">
                  <c:v>0.49090787615260284</c:v>
                </c:pt>
              </c:numCache>
            </c:numRef>
          </c:val>
          <c:smooth val="0"/>
        </c:ser>
        <c:marker val="1"/>
        <c:axId val="24009158"/>
        <c:axId val="14755831"/>
      </c:lineChart>
      <c:dateAx>
        <c:axId val="2400915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5583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475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915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Inorganic 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data'!$AZ$8:$AZ$98</c:f>
              <c:numCache>
                <c:ptCount val="91"/>
                <c:pt idx="0">
                  <c:v>2.5</c:v>
                </c:pt>
                <c:pt idx="1">
                  <c:v>4.738571428571429</c:v>
                </c:pt>
                <c:pt idx="2">
                  <c:v>7.022142857142858</c:v>
                </c:pt>
                <c:pt idx="3">
                  <c:v>3.8321428571428577</c:v>
                </c:pt>
                <c:pt idx="4">
                  <c:v>4.472857142857142</c:v>
                </c:pt>
                <c:pt idx="5">
                  <c:v>10.27142857142857</c:v>
                </c:pt>
                <c:pt idx="6">
                  <c:v>2.885714285714286</c:v>
                </c:pt>
                <c:pt idx="7">
                  <c:v>3.2021428571428574</c:v>
                </c:pt>
                <c:pt idx="8">
                  <c:v>2.5</c:v>
                </c:pt>
                <c:pt idx="9">
                  <c:v>3.9985714285714287</c:v>
                </c:pt>
                <c:pt idx="11">
                  <c:v>2.5</c:v>
                </c:pt>
                <c:pt idx="12">
                  <c:v>2.77</c:v>
                </c:pt>
                <c:pt idx="14">
                  <c:v>5.640714285714285</c:v>
                </c:pt>
                <c:pt idx="15">
                  <c:v>7.521428571428571</c:v>
                </c:pt>
                <c:pt idx="16">
                  <c:v>8.092857142857143</c:v>
                </c:pt>
                <c:pt idx="17">
                  <c:v>6.485</c:v>
                </c:pt>
                <c:pt idx="18">
                  <c:v>2.5</c:v>
                </c:pt>
                <c:pt idx="19">
                  <c:v>6.658571428571429</c:v>
                </c:pt>
                <c:pt idx="20">
                  <c:v>3.185</c:v>
                </c:pt>
                <c:pt idx="21">
                  <c:v>3.646428571428572</c:v>
                </c:pt>
                <c:pt idx="22">
                  <c:v>7.360714285714286</c:v>
                </c:pt>
                <c:pt idx="23">
                  <c:v>4.635714285714285</c:v>
                </c:pt>
                <c:pt idx="25">
                  <c:v>2.5</c:v>
                </c:pt>
                <c:pt idx="26">
                  <c:v>12.806428571428572</c:v>
                </c:pt>
                <c:pt idx="27">
                  <c:v>2.5314285714285716</c:v>
                </c:pt>
                <c:pt idx="28">
                  <c:v>2.5</c:v>
                </c:pt>
                <c:pt idx="29">
                  <c:v>2.5</c:v>
                </c:pt>
                <c:pt idx="30">
                  <c:v>2.5714285714285716</c:v>
                </c:pt>
                <c:pt idx="31">
                  <c:v>2.857142857142857</c:v>
                </c:pt>
                <c:pt idx="32">
                  <c:v>2.7142857142857144</c:v>
                </c:pt>
                <c:pt idx="33">
                  <c:v>4.357142857142857</c:v>
                </c:pt>
                <c:pt idx="34">
                  <c:v>3.3571428571428568</c:v>
                </c:pt>
                <c:pt idx="35">
                  <c:v>3.910714285714286</c:v>
                </c:pt>
                <c:pt idx="36">
                  <c:v>6.928571428571428</c:v>
                </c:pt>
                <c:pt idx="37">
                  <c:v>2.5</c:v>
                </c:pt>
                <c:pt idx="38">
                  <c:v>4.857142857142857</c:v>
                </c:pt>
                <c:pt idx="39">
                  <c:v>5.142857142857143</c:v>
                </c:pt>
                <c:pt idx="40">
                  <c:v>2.928571428571429</c:v>
                </c:pt>
                <c:pt idx="41">
                  <c:v>2.625</c:v>
                </c:pt>
                <c:pt idx="42">
                  <c:v>2.5</c:v>
                </c:pt>
                <c:pt idx="43">
                  <c:v>3.3571428571428568</c:v>
                </c:pt>
                <c:pt idx="44">
                  <c:v>2.6664285714285714</c:v>
                </c:pt>
                <c:pt idx="45">
                  <c:v>3.816428571428572</c:v>
                </c:pt>
                <c:pt idx="46">
                  <c:v>3.382142857142857</c:v>
                </c:pt>
                <c:pt idx="47">
                  <c:v>3.82</c:v>
                </c:pt>
                <c:pt idx="48">
                  <c:v>5.242142857142857</c:v>
                </c:pt>
                <c:pt idx="49">
                  <c:v>3.632857142857143</c:v>
                </c:pt>
                <c:pt idx="50">
                  <c:v>2.5</c:v>
                </c:pt>
                <c:pt idx="51">
                  <c:v>6.457142857142856</c:v>
                </c:pt>
                <c:pt idx="52">
                  <c:v>2.72</c:v>
                </c:pt>
                <c:pt idx="53">
                  <c:v>3</c:v>
                </c:pt>
                <c:pt idx="54">
                  <c:v>4.212857142857143</c:v>
                </c:pt>
                <c:pt idx="55">
                  <c:v>6.7214285714285715</c:v>
                </c:pt>
                <c:pt idx="56">
                  <c:v>2.5</c:v>
                </c:pt>
                <c:pt idx="57">
                  <c:v>2.5</c:v>
                </c:pt>
                <c:pt idx="58">
                  <c:v>4.579285714285714</c:v>
                </c:pt>
                <c:pt idx="59">
                  <c:v>3.802142857142857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2.593571428571429</c:v>
                </c:pt>
                <c:pt idx="67">
                  <c:v>2.857142857142857</c:v>
                </c:pt>
                <c:pt idx="68">
                  <c:v>2.928571428571429</c:v>
                </c:pt>
                <c:pt idx="69">
                  <c:v>2.5</c:v>
                </c:pt>
                <c:pt idx="70">
                  <c:v>3.23</c:v>
                </c:pt>
                <c:pt idx="71">
                  <c:v>2.5</c:v>
                </c:pt>
                <c:pt idx="73">
                  <c:v>4.213571428571428</c:v>
                </c:pt>
                <c:pt idx="74">
                  <c:v>4.237857142857143</c:v>
                </c:pt>
                <c:pt idx="75">
                  <c:v>2.5535714285714284</c:v>
                </c:pt>
                <c:pt idx="76">
                  <c:v>3.267857142857143</c:v>
                </c:pt>
                <c:pt idx="77">
                  <c:v>2.5</c:v>
                </c:pt>
                <c:pt idx="78">
                  <c:v>2.5</c:v>
                </c:pt>
                <c:pt idx="79">
                  <c:v>2.8228571428571434</c:v>
                </c:pt>
                <c:pt idx="80">
                  <c:v>2.551428571428571</c:v>
                </c:pt>
                <c:pt idx="81">
                  <c:v>3.72</c:v>
                </c:pt>
                <c:pt idx="82">
                  <c:v>2.5</c:v>
                </c:pt>
                <c:pt idx="83">
                  <c:v>2.5492857142857144</c:v>
                </c:pt>
                <c:pt idx="84">
                  <c:v>3.3135714285714286</c:v>
                </c:pt>
                <c:pt idx="85">
                  <c:v>4.3185714285714285</c:v>
                </c:pt>
                <c:pt idx="86">
                  <c:v>6.252142857142857</c:v>
                </c:pt>
                <c:pt idx="87">
                  <c:v>2.9592857142857145</c:v>
                </c:pt>
                <c:pt idx="90">
                  <c:v>2.8578571428571427</c:v>
                </c:pt>
              </c:numCache>
            </c:numRef>
          </c:val>
          <c:smooth val="0"/>
        </c:ser>
        <c:marker val="1"/>
        <c:axId val="65693616"/>
        <c:axId val="54371633"/>
      </c:lineChart>
      <c:dateAx>
        <c:axId val="6569361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7163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437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361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K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data'!$AL$8:$AL$98</c:f>
              <c:numCache>
                <c:ptCount val="91"/>
                <c:pt idx="0">
                  <c:v>4.835897435897436</c:v>
                </c:pt>
                <c:pt idx="1">
                  <c:v>4.697435897435897</c:v>
                </c:pt>
                <c:pt idx="2">
                  <c:v>5.933333333333333</c:v>
                </c:pt>
                <c:pt idx="3">
                  <c:v>4.838461538461539</c:v>
                </c:pt>
                <c:pt idx="4">
                  <c:v>3.482051282051282</c:v>
                </c:pt>
                <c:pt idx="5">
                  <c:v>2.5641025641025643</c:v>
                </c:pt>
                <c:pt idx="6">
                  <c:v>4.13076923076923</c:v>
                </c:pt>
                <c:pt idx="7">
                  <c:v>4.9282051282051285</c:v>
                </c:pt>
                <c:pt idx="8">
                  <c:v>5.456410256410256</c:v>
                </c:pt>
                <c:pt idx="9">
                  <c:v>5.405128205128205</c:v>
                </c:pt>
                <c:pt idx="11">
                  <c:v>5.517948717948718</c:v>
                </c:pt>
                <c:pt idx="12">
                  <c:v>6.938461538461539</c:v>
                </c:pt>
                <c:pt idx="14">
                  <c:v>6.233333333333333</c:v>
                </c:pt>
                <c:pt idx="15">
                  <c:v>3.0282051282051285</c:v>
                </c:pt>
                <c:pt idx="16">
                  <c:v>2.5641025641025643</c:v>
                </c:pt>
                <c:pt idx="17">
                  <c:v>3.833333333333333</c:v>
                </c:pt>
                <c:pt idx="18">
                  <c:v>3.1538461538461537</c:v>
                </c:pt>
                <c:pt idx="19">
                  <c:v>4.087179487179487</c:v>
                </c:pt>
                <c:pt idx="20">
                  <c:v>4.679487179487179</c:v>
                </c:pt>
                <c:pt idx="21">
                  <c:v>5.253846153846154</c:v>
                </c:pt>
                <c:pt idx="22">
                  <c:v>6.007692307692308</c:v>
                </c:pt>
                <c:pt idx="23">
                  <c:v>4.861538461538461</c:v>
                </c:pt>
                <c:pt idx="25">
                  <c:v>5.910256410256411</c:v>
                </c:pt>
                <c:pt idx="26">
                  <c:v>6.02051282051282</c:v>
                </c:pt>
                <c:pt idx="27">
                  <c:v>2.5641025641025643</c:v>
                </c:pt>
                <c:pt idx="28">
                  <c:v>3.2025641025641023</c:v>
                </c:pt>
                <c:pt idx="29">
                  <c:v>2.5641025641025643</c:v>
                </c:pt>
                <c:pt idx="30">
                  <c:v>2.8205128205128207</c:v>
                </c:pt>
                <c:pt idx="31">
                  <c:v>4.871794871794872</c:v>
                </c:pt>
                <c:pt idx="32">
                  <c:v>6.466666666666667</c:v>
                </c:pt>
                <c:pt idx="33">
                  <c:v>6.153846153846154</c:v>
                </c:pt>
                <c:pt idx="34">
                  <c:v>4.615384615384615</c:v>
                </c:pt>
                <c:pt idx="35">
                  <c:v>7.551282051282051</c:v>
                </c:pt>
                <c:pt idx="36">
                  <c:v>6.948717948717949</c:v>
                </c:pt>
                <c:pt idx="37">
                  <c:v>9.487179487179487</c:v>
                </c:pt>
                <c:pt idx="38">
                  <c:v>10.405128205128205</c:v>
                </c:pt>
                <c:pt idx="39">
                  <c:v>5.148717948717948</c:v>
                </c:pt>
                <c:pt idx="40">
                  <c:v>5.287179487179487</c:v>
                </c:pt>
                <c:pt idx="41">
                  <c:v>6.328205128205128</c:v>
                </c:pt>
                <c:pt idx="42">
                  <c:v>6.274358974358974</c:v>
                </c:pt>
                <c:pt idx="43">
                  <c:v>7.971794871794872</c:v>
                </c:pt>
                <c:pt idx="44">
                  <c:v>6.294871794871795</c:v>
                </c:pt>
                <c:pt idx="45">
                  <c:v>6.235897435897436</c:v>
                </c:pt>
                <c:pt idx="46">
                  <c:v>6.602564102564103</c:v>
                </c:pt>
                <c:pt idx="47">
                  <c:v>5.892307692307693</c:v>
                </c:pt>
                <c:pt idx="48">
                  <c:v>3.9128205128205136</c:v>
                </c:pt>
                <c:pt idx="49">
                  <c:v>3.517948717948718</c:v>
                </c:pt>
                <c:pt idx="50">
                  <c:v>2.9769230769230766</c:v>
                </c:pt>
                <c:pt idx="51">
                  <c:v>12.279487179487178</c:v>
                </c:pt>
                <c:pt idx="52">
                  <c:v>2.5641025641025643</c:v>
                </c:pt>
                <c:pt idx="53">
                  <c:v>7.5256410256410255</c:v>
                </c:pt>
                <c:pt idx="54">
                  <c:v>5.279487179487179</c:v>
                </c:pt>
                <c:pt idx="55">
                  <c:v>3.182051282051282</c:v>
                </c:pt>
                <c:pt idx="56">
                  <c:v>2.5641025641025643</c:v>
                </c:pt>
                <c:pt idx="57">
                  <c:v>5.71025641025641</c:v>
                </c:pt>
                <c:pt idx="58">
                  <c:v>6.015384615384615</c:v>
                </c:pt>
                <c:pt idx="59">
                  <c:v>5.269230769230769</c:v>
                </c:pt>
                <c:pt idx="60">
                  <c:v>2.5641025641025643</c:v>
                </c:pt>
                <c:pt idx="61">
                  <c:v>8.571794871794872</c:v>
                </c:pt>
                <c:pt idx="62">
                  <c:v>5.907692307692307</c:v>
                </c:pt>
                <c:pt idx="63">
                  <c:v>2.5641025641025643</c:v>
                </c:pt>
                <c:pt idx="64">
                  <c:v>2.5641025641025643</c:v>
                </c:pt>
                <c:pt idx="65">
                  <c:v>2.5641025641025643</c:v>
                </c:pt>
                <c:pt idx="66">
                  <c:v>2.5641025641025643</c:v>
                </c:pt>
                <c:pt idx="67">
                  <c:v>5.62051282051282</c:v>
                </c:pt>
                <c:pt idx="68">
                  <c:v>6.925641025641026</c:v>
                </c:pt>
                <c:pt idx="69">
                  <c:v>7.192307692307693</c:v>
                </c:pt>
                <c:pt idx="70">
                  <c:v>6.8025641025641015</c:v>
                </c:pt>
                <c:pt idx="71">
                  <c:v>2.5641025641025643</c:v>
                </c:pt>
                <c:pt idx="73">
                  <c:v>8.464102564102564</c:v>
                </c:pt>
                <c:pt idx="74">
                  <c:v>6.461538461538462</c:v>
                </c:pt>
                <c:pt idx="75">
                  <c:v>2.5641025641025643</c:v>
                </c:pt>
                <c:pt idx="76">
                  <c:v>8.26153846153846</c:v>
                </c:pt>
                <c:pt idx="77">
                  <c:v>2.5641025641025643</c:v>
                </c:pt>
                <c:pt idx="78">
                  <c:v>6.584615384615384</c:v>
                </c:pt>
                <c:pt idx="79">
                  <c:v>2.5641025641025643</c:v>
                </c:pt>
                <c:pt idx="80">
                  <c:v>2.5641025641025643</c:v>
                </c:pt>
                <c:pt idx="81">
                  <c:v>6.387179487179487</c:v>
                </c:pt>
                <c:pt idx="82">
                  <c:v>2.5641025641025643</c:v>
                </c:pt>
                <c:pt idx="83">
                  <c:v>6.094871794871795</c:v>
                </c:pt>
                <c:pt idx="84">
                  <c:v>5.6</c:v>
                </c:pt>
                <c:pt idx="85">
                  <c:v>6.97948717948718</c:v>
                </c:pt>
                <c:pt idx="86">
                  <c:v>8.43076923076923</c:v>
                </c:pt>
                <c:pt idx="87">
                  <c:v>6.889743589743589</c:v>
                </c:pt>
                <c:pt idx="88">
                  <c:v>13.07948717948718</c:v>
                </c:pt>
                <c:pt idx="90">
                  <c:v>2.5641025641025643</c:v>
                </c:pt>
              </c:numCache>
            </c:numRef>
          </c:val>
          <c:smooth val="0"/>
        </c:ser>
        <c:marker val="1"/>
        <c:axId val="19582650"/>
        <c:axId val="42026123"/>
      </c:lineChart>
      <c:dateAx>
        <c:axId val="1958265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612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202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265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Mg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data'!$AN$8:$AN$98</c:f>
              <c:numCache>
                <c:ptCount val="91"/>
                <c:pt idx="0">
                  <c:v>16.283333333333335</c:v>
                </c:pt>
                <c:pt idx="1">
                  <c:v>26.833333333333336</c:v>
                </c:pt>
                <c:pt idx="2">
                  <c:v>25.45</c:v>
                </c:pt>
                <c:pt idx="3">
                  <c:v>26.008333333333333</c:v>
                </c:pt>
                <c:pt idx="4">
                  <c:v>27.65</c:v>
                </c:pt>
                <c:pt idx="5">
                  <c:v>30.616666666666667</c:v>
                </c:pt>
                <c:pt idx="6">
                  <c:v>18.516666666666666</c:v>
                </c:pt>
                <c:pt idx="7">
                  <c:v>23.59166666666667</c:v>
                </c:pt>
                <c:pt idx="8">
                  <c:v>26.633333333333333</c:v>
                </c:pt>
                <c:pt idx="9">
                  <c:v>31.333333333333332</c:v>
                </c:pt>
                <c:pt idx="11">
                  <c:v>28.9</c:v>
                </c:pt>
                <c:pt idx="12">
                  <c:v>27.73333333333333</c:v>
                </c:pt>
                <c:pt idx="14">
                  <c:v>23.76666666666667</c:v>
                </c:pt>
                <c:pt idx="15">
                  <c:v>27.916666666666668</c:v>
                </c:pt>
                <c:pt idx="16">
                  <c:v>27.041666666666668</c:v>
                </c:pt>
                <c:pt idx="17">
                  <c:v>27.758333333333333</c:v>
                </c:pt>
                <c:pt idx="18">
                  <c:v>21.691666666666663</c:v>
                </c:pt>
                <c:pt idx="19">
                  <c:v>26.625</c:v>
                </c:pt>
                <c:pt idx="20">
                  <c:v>25.766666666666662</c:v>
                </c:pt>
                <c:pt idx="21">
                  <c:v>28.516666666666666</c:v>
                </c:pt>
                <c:pt idx="22">
                  <c:v>26.908333333333335</c:v>
                </c:pt>
                <c:pt idx="23">
                  <c:v>23.633333333333336</c:v>
                </c:pt>
                <c:pt idx="25">
                  <c:v>22.041666666666668</c:v>
                </c:pt>
                <c:pt idx="26">
                  <c:v>22.016666666666666</c:v>
                </c:pt>
                <c:pt idx="27">
                  <c:v>20.25</c:v>
                </c:pt>
                <c:pt idx="28">
                  <c:v>23.941666666666666</c:v>
                </c:pt>
                <c:pt idx="29">
                  <c:v>26.666666666666668</c:v>
                </c:pt>
                <c:pt idx="30">
                  <c:v>23.333333333333336</c:v>
                </c:pt>
                <c:pt idx="31">
                  <c:v>24.166666666666668</c:v>
                </c:pt>
                <c:pt idx="32">
                  <c:v>27.85833333333333</c:v>
                </c:pt>
                <c:pt idx="33">
                  <c:v>26.666666666666668</c:v>
                </c:pt>
                <c:pt idx="34">
                  <c:v>22.500000000000004</c:v>
                </c:pt>
                <c:pt idx="35">
                  <c:v>32.69166666666667</c:v>
                </c:pt>
                <c:pt idx="36">
                  <c:v>26.700000000000003</c:v>
                </c:pt>
                <c:pt idx="37">
                  <c:v>24.241666666666664</c:v>
                </c:pt>
                <c:pt idx="38">
                  <c:v>27.158333333333335</c:v>
                </c:pt>
                <c:pt idx="39">
                  <c:v>27.116666666666667</c:v>
                </c:pt>
                <c:pt idx="40">
                  <c:v>30.5</c:v>
                </c:pt>
                <c:pt idx="41">
                  <c:v>27.25</c:v>
                </c:pt>
                <c:pt idx="42">
                  <c:v>30.883333333333333</c:v>
                </c:pt>
                <c:pt idx="43">
                  <c:v>37.25833333333333</c:v>
                </c:pt>
                <c:pt idx="44">
                  <c:v>36.49166666666667</c:v>
                </c:pt>
                <c:pt idx="45">
                  <c:v>23.291666666666668</c:v>
                </c:pt>
                <c:pt idx="46">
                  <c:v>21.791666666666668</c:v>
                </c:pt>
                <c:pt idx="47">
                  <c:v>22.9</c:v>
                </c:pt>
                <c:pt idx="48">
                  <c:v>23.616666666666664</c:v>
                </c:pt>
                <c:pt idx="49">
                  <c:v>21.825</c:v>
                </c:pt>
                <c:pt idx="50">
                  <c:v>15.441666666666666</c:v>
                </c:pt>
                <c:pt idx="51">
                  <c:v>31.78333333333334</c:v>
                </c:pt>
                <c:pt idx="52">
                  <c:v>30.974999999999998</c:v>
                </c:pt>
                <c:pt idx="53">
                  <c:v>37.15</c:v>
                </c:pt>
                <c:pt idx="54">
                  <c:v>33.86666666666666</c:v>
                </c:pt>
                <c:pt idx="55">
                  <c:v>30.575000000000003</c:v>
                </c:pt>
                <c:pt idx="56">
                  <c:v>24.708333333333332</c:v>
                </c:pt>
                <c:pt idx="57">
                  <c:v>31.008333333333333</c:v>
                </c:pt>
                <c:pt idx="58">
                  <c:v>35.041666666666664</c:v>
                </c:pt>
                <c:pt idx="59">
                  <c:v>24.475</c:v>
                </c:pt>
                <c:pt idx="60">
                  <c:v>26.8</c:v>
                </c:pt>
                <c:pt idx="61">
                  <c:v>28.083333333333336</c:v>
                </c:pt>
                <c:pt idx="62">
                  <c:v>32.91666666666667</c:v>
                </c:pt>
                <c:pt idx="63">
                  <c:v>31.78333333333334</c:v>
                </c:pt>
                <c:pt idx="64">
                  <c:v>29.65</c:v>
                </c:pt>
                <c:pt idx="65">
                  <c:v>29.175000000000004</c:v>
                </c:pt>
                <c:pt idx="66">
                  <c:v>26.958333333333336</c:v>
                </c:pt>
                <c:pt idx="67">
                  <c:v>18.958333333333336</c:v>
                </c:pt>
                <c:pt idx="68">
                  <c:v>30.291666666666664</c:v>
                </c:pt>
                <c:pt idx="69">
                  <c:v>30.15833333333333</c:v>
                </c:pt>
                <c:pt idx="70">
                  <c:v>31.691666666666666</c:v>
                </c:pt>
                <c:pt idx="71">
                  <c:v>31.791666666666668</c:v>
                </c:pt>
                <c:pt idx="73">
                  <c:v>30.308333333333337</c:v>
                </c:pt>
                <c:pt idx="74">
                  <c:v>19.416666666666668</c:v>
                </c:pt>
                <c:pt idx="75">
                  <c:v>14.325</c:v>
                </c:pt>
                <c:pt idx="76">
                  <c:v>26.666666666666668</c:v>
                </c:pt>
                <c:pt idx="77">
                  <c:v>23.366666666666664</c:v>
                </c:pt>
                <c:pt idx="78">
                  <c:v>30.583333333333332</c:v>
                </c:pt>
                <c:pt idx="79">
                  <c:v>31.599999999999998</c:v>
                </c:pt>
                <c:pt idx="80">
                  <c:v>28.691666666666666</c:v>
                </c:pt>
                <c:pt idx="81">
                  <c:v>39.61666666666667</c:v>
                </c:pt>
                <c:pt idx="82">
                  <c:v>42.22500000000001</c:v>
                </c:pt>
                <c:pt idx="83">
                  <c:v>25.466666666666665</c:v>
                </c:pt>
                <c:pt idx="84">
                  <c:v>23.7</c:v>
                </c:pt>
                <c:pt idx="85">
                  <c:v>22.758333333333336</c:v>
                </c:pt>
                <c:pt idx="86">
                  <c:v>34.69166666666667</c:v>
                </c:pt>
                <c:pt idx="87">
                  <c:v>24.258333333333336</c:v>
                </c:pt>
                <c:pt idx="88">
                  <c:v>53.525</c:v>
                </c:pt>
                <c:pt idx="90">
                  <c:v>25.75833333333333</c:v>
                </c:pt>
              </c:numCache>
            </c:numRef>
          </c:val>
          <c:smooth val="0"/>
        </c:ser>
        <c:marker val="1"/>
        <c:axId val="42690788"/>
        <c:axId val="48672773"/>
      </c:lineChart>
      <c:dateAx>
        <c:axId val="4269078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7277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867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078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Mn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data'!$AF$8:$AF$98</c:f>
              <c:numCache>
                <c:ptCount val="91"/>
                <c:pt idx="0">
                  <c:v>0.07272727272727272</c:v>
                </c:pt>
                <c:pt idx="1">
                  <c:v>0.09090909090909091</c:v>
                </c:pt>
                <c:pt idx="2">
                  <c:v>0.07272727272727272</c:v>
                </c:pt>
                <c:pt idx="3">
                  <c:v>0.07272727272727272</c:v>
                </c:pt>
                <c:pt idx="4">
                  <c:v>0.07272727272727272</c:v>
                </c:pt>
                <c:pt idx="5">
                  <c:v>0.07272727272727272</c:v>
                </c:pt>
                <c:pt idx="6">
                  <c:v>0.07272727272727272</c:v>
                </c:pt>
                <c:pt idx="7">
                  <c:v>0.07272727272727272</c:v>
                </c:pt>
                <c:pt idx="8">
                  <c:v>0.07272727272727272</c:v>
                </c:pt>
                <c:pt idx="9">
                  <c:v>0.07272727272727272</c:v>
                </c:pt>
                <c:pt idx="11">
                  <c:v>0.07272727272727272</c:v>
                </c:pt>
                <c:pt idx="12">
                  <c:v>0.08</c:v>
                </c:pt>
                <c:pt idx="14">
                  <c:v>0.07272727272727272</c:v>
                </c:pt>
                <c:pt idx="15">
                  <c:v>0.07272727272727272</c:v>
                </c:pt>
                <c:pt idx="16">
                  <c:v>0.07272727272727272</c:v>
                </c:pt>
                <c:pt idx="17">
                  <c:v>0.07272727272727272</c:v>
                </c:pt>
                <c:pt idx="18">
                  <c:v>0.07272727272727272</c:v>
                </c:pt>
                <c:pt idx="19">
                  <c:v>0.07272727272727272</c:v>
                </c:pt>
                <c:pt idx="20">
                  <c:v>0.07272727272727272</c:v>
                </c:pt>
                <c:pt idx="21">
                  <c:v>0.07272727272727272</c:v>
                </c:pt>
                <c:pt idx="22">
                  <c:v>0.07272727272727272</c:v>
                </c:pt>
                <c:pt idx="23">
                  <c:v>0.07272727272727272</c:v>
                </c:pt>
                <c:pt idx="25">
                  <c:v>0.07272727272727272</c:v>
                </c:pt>
                <c:pt idx="26">
                  <c:v>0.07272727272727272</c:v>
                </c:pt>
                <c:pt idx="27">
                  <c:v>0.07272727272727272</c:v>
                </c:pt>
                <c:pt idx="28">
                  <c:v>0.07272727272727272</c:v>
                </c:pt>
                <c:pt idx="29">
                  <c:v>0.07272727272727272</c:v>
                </c:pt>
                <c:pt idx="30">
                  <c:v>0.07272727272727272</c:v>
                </c:pt>
                <c:pt idx="31">
                  <c:v>0.07272727272727272</c:v>
                </c:pt>
                <c:pt idx="32">
                  <c:v>0.07272727272727272</c:v>
                </c:pt>
                <c:pt idx="33">
                  <c:v>0.07272727272727272</c:v>
                </c:pt>
                <c:pt idx="34">
                  <c:v>0.07272727272727272</c:v>
                </c:pt>
                <c:pt idx="35">
                  <c:v>0.07272727272727272</c:v>
                </c:pt>
                <c:pt idx="36">
                  <c:v>0.07272727272727272</c:v>
                </c:pt>
                <c:pt idx="37">
                  <c:v>0.07272727272727272</c:v>
                </c:pt>
                <c:pt idx="38">
                  <c:v>0.07272727272727272</c:v>
                </c:pt>
                <c:pt idx="39">
                  <c:v>0.07272727272727272</c:v>
                </c:pt>
                <c:pt idx="40">
                  <c:v>0.07272727272727272</c:v>
                </c:pt>
                <c:pt idx="41">
                  <c:v>0.07272727272727272</c:v>
                </c:pt>
                <c:pt idx="42">
                  <c:v>0.07272727272727272</c:v>
                </c:pt>
                <c:pt idx="43">
                  <c:v>0.07272727272727272</c:v>
                </c:pt>
                <c:pt idx="44">
                  <c:v>0.07272727272727272</c:v>
                </c:pt>
                <c:pt idx="45">
                  <c:v>0.07272727272727272</c:v>
                </c:pt>
                <c:pt idx="46">
                  <c:v>0.07272727272727272</c:v>
                </c:pt>
                <c:pt idx="47">
                  <c:v>0.07272727272727272</c:v>
                </c:pt>
                <c:pt idx="48">
                  <c:v>0.07272727272727272</c:v>
                </c:pt>
                <c:pt idx="49">
                  <c:v>0.07272727272727272</c:v>
                </c:pt>
                <c:pt idx="50">
                  <c:v>0.07272727272727272</c:v>
                </c:pt>
                <c:pt idx="51">
                  <c:v>0.07272727272727272</c:v>
                </c:pt>
                <c:pt idx="52">
                  <c:v>0.07272727272727272</c:v>
                </c:pt>
                <c:pt idx="53">
                  <c:v>0.07272727272727272</c:v>
                </c:pt>
                <c:pt idx="54">
                  <c:v>0.07272727272727272</c:v>
                </c:pt>
                <c:pt idx="55">
                  <c:v>0.07272727272727272</c:v>
                </c:pt>
                <c:pt idx="56">
                  <c:v>0.09210909090909092</c:v>
                </c:pt>
                <c:pt idx="57">
                  <c:v>0.1006909090909091</c:v>
                </c:pt>
                <c:pt idx="58">
                  <c:v>0.07272727272727272</c:v>
                </c:pt>
                <c:pt idx="59">
                  <c:v>0.10614545454545454</c:v>
                </c:pt>
                <c:pt idx="60">
                  <c:v>0.07272727272727272</c:v>
                </c:pt>
                <c:pt idx="61">
                  <c:v>0.10214545454545454</c:v>
                </c:pt>
                <c:pt idx="62">
                  <c:v>0.07272727272727272</c:v>
                </c:pt>
                <c:pt idx="63">
                  <c:v>0.07272727272727272</c:v>
                </c:pt>
                <c:pt idx="64">
                  <c:v>0.07414545454545454</c:v>
                </c:pt>
                <c:pt idx="65">
                  <c:v>0.10596363636363636</c:v>
                </c:pt>
                <c:pt idx="66">
                  <c:v>0.10287272727272727</c:v>
                </c:pt>
                <c:pt idx="67">
                  <c:v>0.10247272727272727</c:v>
                </c:pt>
                <c:pt idx="68">
                  <c:v>0.07294545454545454</c:v>
                </c:pt>
                <c:pt idx="69">
                  <c:v>0.07272727272727272</c:v>
                </c:pt>
                <c:pt idx="70">
                  <c:v>0.10545454545454544</c:v>
                </c:pt>
                <c:pt idx="71">
                  <c:v>0.08676363636363638</c:v>
                </c:pt>
                <c:pt idx="73">
                  <c:v>0.07272727272727272</c:v>
                </c:pt>
                <c:pt idx="74">
                  <c:v>0.08159999999999999</c:v>
                </c:pt>
                <c:pt idx="75">
                  <c:v>0.07272727272727272</c:v>
                </c:pt>
                <c:pt idx="76">
                  <c:v>0.07272727272727272</c:v>
                </c:pt>
                <c:pt idx="77">
                  <c:v>0.07272727272727272</c:v>
                </c:pt>
                <c:pt idx="78">
                  <c:v>0.09952727272727271</c:v>
                </c:pt>
                <c:pt idx="79">
                  <c:v>0.07272727272727272</c:v>
                </c:pt>
                <c:pt idx="80">
                  <c:v>0.08719999999999999</c:v>
                </c:pt>
                <c:pt idx="81">
                  <c:v>0.07272727272727272</c:v>
                </c:pt>
                <c:pt idx="82">
                  <c:v>0.07272727272727272</c:v>
                </c:pt>
                <c:pt idx="83">
                  <c:v>0.07272727272727272</c:v>
                </c:pt>
                <c:pt idx="84">
                  <c:v>0.07283636363636363</c:v>
                </c:pt>
                <c:pt idx="85">
                  <c:v>0.07272727272727272</c:v>
                </c:pt>
                <c:pt idx="86">
                  <c:v>0.07272727272727272</c:v>
                </c:pt>
                <c:pt idx="87">
                  <c:v>0.07272727272727272</c:v>
                </c:pt>
                <c:pt idx="88">
                  <c:v>0.10727272727272727</c:v>
                </c:pt>
                <c:pt idx="90">
                  <c:v>0.07272727272727272</c:v>
                </c:pt>
              </c:numCache>
            </c:numRef>
          </c:val>
          <c:smooth val="0"/>
        </c:ser>
        <c:marker val="1"/>
        <c:axId val="35401774"/>
        <c:axId val="50180511"/>
      </c:lineChart>
      <c:dateAx>
        <c:axId val="3540177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051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0180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0177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Na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data'!$AO$8:$AO$98</c:f>
              <c:numCache>
                <c:ptCount val="91"/>
                <c:pt idx="0">
                  <c:v>110.91304347826087</c:v>
                </c:pt>
                <c:pt idx="1">
                  <c:v>122.86956521739131</c:v>
                </c:pt>
                <c:pt idx="2">
                  <c:v>120.78260869565217</c:v>
                </c:pt>
                <c:pt idx="3">
                  <c:v>125.26086956521738</c:v>
                </c:pt>
                <c:pt idx="4">
                  <c:v>122.6521739130435</c:v>
                </c:pt>
                <c:pt idx="5">
                  <c:v>145.04347826086956</c:v>
                </c:pt>
                <c:pt idx="6">
                  <c:v>93.60869565217392</c:v>
                </c:pt>
                <c:pt idx="7">
                  <c:v>116.65217391304347</c:v>
                </c:pt>
                <c:pt idx="8">
                  <c:v>114.69565217391305</c:v>
                </c:pt>
                <c:pt idx="9">
                  <c:v>129.43478260869566</c:v>
                </c:pt>
                <c:pt idx="11">
                  <c:v>110.08695652173914</c:v>
                </c:pt>
                <c:pt idx="12">
                  <c:v>111.95652173913044</c:v>
                </c:pt>
                <c:pt idx="14">
                  <c:v>121.39130434782608</c:v>
                </c:pt>
                <c:pt idx="15">
                  <c:v>116.34782608695653</c:v>
                </c:pt>
                <c:pt idx="16">
                  <c:v>118.86956521739131</c:v>
                </c:pt>
                <c:pt idx="17">
                  <c:v>133.1304347826087</c:v>
                </c:pt>
                <c:pt idx="18">
                  <c:v>123.86956521739131</c:v>
                </c:pt>
                <c:pt idx="19">
                  <c:v>121.65217391304347</c:v>
                </c:pt>
                <c:pt idx="20">
                  <c:v>115.78260869565217</c:v>
                </c:pt>
                <c:pt idx="21">
                  <c:v>125.30434782608695</c:v>
                </c:pt>
                <c:pt idx="22">
                  <c:v>130.21739130434784</c:v>
                </c:pt>
                <c:pt idx="23">
                  <c:v>124.95652173913044</c:v>
                </c:pt>
                <c:pt idx="25">
                  <c:v>114.30434782608697</c:v>
                </c:pt>
                <c:pt idx="26">
                  <c:v>85.08695652173913</c:v>
                </c:pt>
                <c:pt idx="27">
                  <c:v>97.65217391304348</c:v>
                </c:pt>
                <c:pt idx="28">
                  <c:v>114.08695652173914</c:v>
                </c:pt>
                <c:pt idx="29">
                  <c:v>116.08695652173913</c:v>
                </c:pt>
                <c:pt idx="30">
                  <c:v>101.30434782608697</c:v>
                </c:pt>
                <c:pt idx="31">
                  <c:v>117.82608695652173</c:v>
                </c:pt>
                <c:pt idx="32">
                  <c:v>132.9565217391304</c:v>
                </c:pt>
                <c:pt idx="33">
                  <c:v>120.43478260869566</c:v>
                </c:pt>
                <c:pt idx="34">
                  <c:v>111.30434782608697</c:v>
                </c:pt>
                <c:pt idx="35">
                  <c:v>142.82608695652175</c:v>
                </c:pt>
                <c:pt idx="36">
                  <c:v>136.99999999999997</c:v>
                </c:pt>
                <c:pt idx="37">
                  <c:v>178.13043478260872</c:v>
                </c:pt>
                <c:pt idx="38">
                  <c:v>171.9130434782609</c:v>
                </c:pt>
                <c:pt idx="39">
                  <c:v>133.69565217391306</c:v>
                </c:pt>
                <c:pt idx="40">
                  <c:v>128.52173913043478</c:v>
                </c:pt>
                <c:pt idx="41">
                  <c:v>133.08695652173913</c:v>
                </c:pt>
                <c:pt idx="42">
                  <c:v>126.86956521739131</c:v>
                </c:pt>
                <c:pt idx="43">
                  <c:v>139.73913043478262</c:v>
                </c:pt>
                <c:pt idx="44">
                  <c:v>130.47826086956522</c:v>
                </c:pt>
                <c:pt idx="45">
                  <c:v>110.2608695652174</c:v>
                </c:pt>
                <c:pt idx="46">
                  <c:v>114.17391304347825</c:v>
                </c:pt>
                <c:pt idx="47">
                  <c:v>122.26086956521738</c:v>
                </c:pt>
                <c:pt idx="48">
                  <c:v>118.78260869565219</c:v>
                </c:pt>
                <c:pt idx="49">
                  <c:v>113.5217391304348</c:v>
                </c:pt>
                <c:pt idx="50">
                  <c:v>94.60869565217392</c:v>
                </c:pt>
                <c:pt idx="51">
                  <c:v>127.65217391304348</c:v>
                </c:pt>
                <c:pt idx="52">
                  <c:v>119.78260869565217</c:v>
                </c:pt>
                <c:pt idx="53">
                  <c:v>165.17391304347825</c:v>
                </c:pt>
                <c:pt idx="54">
                  <c:v>179.86956521739128</c:v>
                </c:pt>
                <c:pt idx="55">
                  <c:v>147.73913043478262</c:v>
                </c:pt>
                <c:pt idx="56">
                  <c:v>122.43478260869564</c:v>
                </c:pt>
                <c:pt idx="57">
                  <c:v>126.30434782608695</c:v>
                </c:pt>
                <c:pt idx="58">
                  <c:v>141.6086956521739</c:v>
                </c:pt>
                <c:pt idx="59">
                  <c:v>124.56521739130436</c:v>
                </c:pt>
                <c:pt idx="60">
                  <c:v>125.73913043478261</c:v>
                </c:pt>
                <c:pt idx="61">
                  <c:v>141.7391304347826</c:v>
                </c:pt>
                <c:pt idx="62">
                  <c:v>164.91304347826087</c:v>
                </c:pt>
                <c:pt idx="63">
                  <c:v>154</c:v>
                </c:pt>
                <c:pt idx="64">
                  <c:v>147.47826086956522</c:v>
                </c:pt>
                <c:pt idx="65">
                  <c:v>136.08695652173913</c:v>
                </c:pt>
                <c:pt idx="66">
                  <c:v>127.30434782608697</c:v>
                </c:pt>
                <c:pt idx="67">
                  <c:v>123.78260869565217</c:v>
                </c:pt>
                <c:pt idx="68">
                  <c:v>148.7826086956522</c:v>
                </c:pt>
                <c:pt idx="69">
                  <c:v>141.17391304347825</c:v>
                </c:pt>
                <c:pt idx="70">
                  <c:v>153.95652173913044</c:v>
                </c:pt>
                <c:pt idx="71">
                  <c:v>147.2173913043478</c:v>
                </c:pt>
                <c:pt idx="73">
                  <c:v>132.3913043478261</c:v>
                </c:pt>
                <c:pt idx="74">
                  <c:v>102.73913043478261</c:v>
                </c:pt>
                <c:pt idx="75">
                  <c:v>56.69565217391304</c:v>
                </c:pt>
                <c:pt idx="76">
                  <c:v>125.08695652173913</c:v>
                </c:pt>
                <c:pt idx="77">
                  <c:v>104.7391304347826</c:v>
                </c:pt>
                <c:pt idx="78">
                  <c:v>115.3913043478261</c:v>
                </c:pt>
                <c:pt idx="79">
                  <c:v>147.7826086956522</c:v>
                </c:pt>
                <c:pt idx="80">
                  <c:v>139.47826086956522</c:v>
                </c:pt>
                <c:pt idx="81">
                  <c:v>177.17391304347825</c:v>
                </c:pt>
                <c:pt idx="82">
                  <c:v>191.5217391304348</c:v>
                </c:pt>
                <c:pt idx="83">
                  <c:v>112.08695652173913</c:v>
                </c:pt>
                <c:pt idx="84">
                  <c:v>115.21739130434783</c:v>
                </c:pt>
                <c:pt idx="85">
                  <c:v>114.2608695652174</c:v>
                </c:pt>
                <c:pt idx="86">
                  <c:v>162.95652173913044</c:v>
                </c:pt>
                <c:pt idx="87">
                  <c:v>101.30434782608697</c:v>
                </c:pt>
                <c:pt idx="88">
                  <c:v>129.82608695652175</c:v>
                </c:pt>
                <c:pt idx="90">
                  <c:v>124.8695652173913</c:v>
                </c:pt>
              </c:numCache>
            </c:numRef>
          </c:val>
          <c:smooth val="0"/>
        </c:ser>
        <c:marker val="1"/>
        <c:axId val="48971416"/>
        <c:axId val="38089561"/>
      </c:lineChart>
      <c:dateAx>
        <c:axId val="4897141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956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808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141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Na:Cl ratio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725"/>
          <c:w val="0.9197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data'!$BU$8:$BU$98</c:f>
              <c:numCache>
                <c:ptCount val="91"/>
                <c:pt idx="0">
                  <c:v>1.445255592605782</c:v>
                </c:pt>
                <c:pt idx="1">
                  <c:v>1.6591183574879227</c:v>
                </c:pt>
                <c:pt idx="2">
                  <c:v>1.521191545285292</c:v>
                </c:pt>
                <c:pt idx="3">
                  <c:v>1.4771328958162426</c:v>
                </c:pt>
                <c:pt idx="4">
                  <c:v>1.5881709533690427</c:v>
                </c:pt>
                <c:pt idx="5">
                  <c:v>1.421994884910486</c:v>
                </c:pt>
                <c:pt idx="6">
                  <c:v>1.277809808044496</c:v>
                </c:pt>
                <c:pt idx="7">
                  <c:v>1.5280037750585784</c:v>
                </c:pt>
                <c:pt idx="8">
                  <c:v>1.206959659076054</c:v>
                </c:pt>
                <c:pt idx="9">
                  <c:v>1.3559465403485027</c:v>
                </c:pt>
                <c:pt idx="11">
                  <c:v>1.4181242098862237</c:v>
                </c:pt>
                <c:pt idx="12">
                  <c:v>1.5592830325784184</c:v>
                </c:pt>
                <c:pt idx="14">
                  <c:v>1.555159462728372</c:v>
                </c:pt>
                <c:pt idx="15">
                  <c:v>1.6347546820728536</c:v>
                </c:pt>
                <c:pt idx="16">
                  <c:v>1.3042115305983373</c:v>
                </c:pt>
                <c:pt idx="17">
                  <c:v>1.4561141304347824</c:v>
                </c:pt>
                <c:pt idx="18">
                  <c:v>1.5249506797779444</c:v>
                </c:pt>
                <c:pt idx="19">
                  <c:v>1.4646804564693916</c:v>
                </c:pt>
                <c:pt idx="20">
                  <c:v>0.9517123777237732</c:v>
                </c:pt>
                <c:pt idx="21">
                  <c:v>1.4922259863603413</c:v>
                </c:pt>
                <c:pt idx="22">
                  <c:v>1.5381737076112638</c:v>
                </c:pt>
                <c:pt idx="23">
                  <c:v>1.5313299232736575</c:v>
                </c:pt>
                <c:pt idx="25">
                  <c:v>1.3291203235591509</c:v>
                </c:pt>
                <c:pt idx="26">
                  <c:v>1.660001938829916</c:v>
                </c:pt>
                <c:pt idx="27">
                  <c:v>1.5354115395132624</c:v>
                </c:pt>
                <c:pt idx="28">
                  <c:v>1.3366014869691545</c:v>
                </c:pt>
                <c:pt idx="29">
                  <c:v>1.5495970550194011</c:v>
                </c:pt>
                <c:pt idx="30">
                  <c:v>1.3215252232251375</c:v>
                </c:pt>
                <c:pt idx="31">
                  <c:v>1.5290741725911237</c:v>
                </c:pt>
                <c:pt idx="32">
                  <c:v>1.7727536231884053</c:v>
                </c:pt>
                <c:pt idx="33">
                  <c:v>1.390701877698564</c:v>
                </c:pt>
                <c:pt idx="34">
                  <c:v>1.2522186351375904</c:v>
                </c:pt>
                <c:pt idx="35">
                  <c:v>1.114336389540406</c:v>
                </c:pt>
                <c:pt idx="36">
                  <c:v>1.536366549182954</c:v>
                </c:pt>
                <c:pt idx="37">
                  <c:v>2.029480865036232</c:v>
                </c:pt>
                <c:pt idx="38">
                  <c:v>1.9650413199670582</c:v>
                </c:pt>
                <c:pt idx="39">
                  <c:v>1.8094925854937967</c:v>
                </c:pt>
                <c:pt idx="40">
                  <c:v>1.7829016526219648</c:v>
                </c:pt>
                <c:pt idx="41">
                  <c:v>1.685864451053518</c:v>
                </c:pt>
                <c:pt idx="42">
                  <c:v>1.509674153988242</c:v>
                </c:pt>
                <c:pt idx="43">
                  <c:v>1.6332351224098762</c:v>
                </c:pt>
                <c:pt idx="44">
                  <c:v>1.4798247344247515</c:v>
                </c:pt>
                <c:pt idx="45">
                  <c:v>1.2829555966697506</c:v>
                </c:pt>
                <c:pt idx="46">
                  <c:v>1.1687882294594145</c:v>
                </c:pt>
                <c:pt idx="47">
                  <c:v>1.4694816053511703</c:v>
                </c:pt>
                <c:pt idx="48">
                  <c:v>1.5063011972274736</c:v>
                </c:pt>
                <c:pt idx="49">
                  <c:v>1.051962104730002</c:v>
                </c:pt>
                <c:pt idx="50">
                  <c:v>1.324521739130435</c:v>
                </c:pt>
                <c:pt idx="51">
                  <c:v>1.3810899805120624</c:v>
                </c:pt>
                <c:pt idx="52">
                  <c:v>1.608745703894024</c:v>
                </c:pt>
                <c:pt idx="53">
                  <c:v>2.2260635181061756</c:v>
                </c:pt>
                <c:pt idx="54">
                  <c:v>2.2198289078309927</c:v>
                </c:pt>
                <c:pt idx="55">
                  <c:v>1.7769311220678323</c:v>
                </c:pt>
                <c:pt idx="56">
                  <c:v>1.3005212113215017</c:v>
                </c:pt>
                <c:pt idx="57">
                  <c:v>1.2791238929146538</c:v>
                </c:pt>
                <c:pt idx="58">
                  <c:v>1.4892741429765886</c:v>
                </c:pt>
                <c:pt idx="59">
                  <c:v>1.6983960298775425</c:v>
                </c:pt>
                <c:pt idx="60">
                  <c:v>1.4187200403666638</c:v>
                </c:pt>
                <c:pt idx="61">
                  <c:v>1.8635873648450005</c:v>
                </c:pt>
                <c:pt idx="62">
                  <c:v>14.429891304347827</c:v>
                </c:pt>
                <c:pt idx="63">
                  <c:v>13.475</c:v>
                </c:pt>
                <c:pt idx="64">
                  <c:v>1.7928930637147558</c:v>
                </c:pt>
                <c:pt idx="65">
                  <c:v>1.760829381981837</c:v>
                </c:pt>
                <c:pt idx="66">
                  <c:v>1.6056404230317276</c:v>
                </c:pt>
                <c:pt idx="67">
                  <c:v>1.4786318444873128</c:v>
                </c:pt>
                <c:pt idx="68">
                  <c:v>1.7123943782794562</c:v>
                </c:pt>
                <c:pt idx="69">
                  <c:v>1.9827796775769417</c:v>
                </c:pt>
                <c:pt idx="70">
                  <c:v>1.8768645980040284</c:v>
                </c:pt>
                <c:pt idx="71">
                  <c:v>1.7737035096909377</c:v>
                </c:pt>
                <c:pt idx="73">
                  <c:v>1.329611377955212</c:v>
                </c:pt>
                <c:pt idx="74">
                  <c:v>1.7872115135275304</c:v>
                </c:pt>
                <c:pt idx="75">
                  <c:v>2.072425928028153</c:v>
                </c:pt>
                <c:pt idx="76">
                  <c:v>1.5833791964777104</c:v>
                </c:pt>
                <c:pt idx="77">
                  <c:v>2.0208762763050667</c:v>
                </c:pt>
                <c:pt idx="78">
                  <c:v>1.892547165967157</c:v>
                </c:pt>
                <c:pt idx="79">
                  <c:v>1.8060025504007773</c:v>
                </c:pt>
                <c:pt idx="80">
                  <c:v>2.2653081811762332</c:v>
                </c:pt>
                <c:pt idx="81">
                  <c:v>2.4954072259644824</c:v>
                </c:pt>
                <c:pt idx="82">
                  <c:v>2.485450822975609</c:v>
                </c:pt>
                <c:pt idx="83">
                  <c:v>1.5300481584480772</c:v>
                </c:pt>
                <c:pt idx="84">
                  <c:v>1.5240395675178284</c:v>
                </c:pt>
                <c:pt idx="85">
                  <c:v>1.3211531003576507</c:v>
                </c:pt>
                <c:pt idx="86">
                  <c:v>2.1710994521772236</c:v>
                </c:pt>
                <c:pt idx="87">
                  <c:v>1.4816766292992245</c:v>
                </c:pt>
                <c:pt idx="88">
                  <c:v>1.0374230692872743</c:v>
                </c:pt>
                <c:pt idx="90">
                  <c:v>1.6510898309817514</c:v>
                </c:pt>
              </c:numCache>
            </c:numRef>
          </c:val>
          <c:smooth val="0"/>
        </c:ser>
        <c:marker val="1"/>
        <c:axId val="7261730"/>
        <c:axId val="65355571"/>
      </c:lineChart>
      <c:dateAx>
        <c:axId val="726173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5557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5355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Na:Cl ratio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173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7"/>
          <c:w val="0.914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data'!$AI$8:$AI$98</c:f>
              <c:numCache>
                <c:ptCount val="91"/>
                <c:pt idx="0">
                  <c:v>0.7142857142857143</c:v>
                </c:pt>
                <c:pt idx="1">
                  <c:v>1.65</c:v>
                </c:pt>
                <c:pt idx="2">
                  <c:v>0.7142857142857143</c:v>
                </c:pt>
                <c:pt idx="3">
                  <c:v>0.7142857142857143</c:v>
                </c:pt>
                <c:pt idx="4">
                  <c:v>0.7214285714285714</c:v>
                </c:pt>
                <c:pt idx="5">
                  <c:v>1.4785714285714284</c:v>
                </c:pt>
                <c:pt idx="6">
                  <c:v>1.1</c:v>
                </c:pt>
                <c:pt idx="7">
                  <c:v>0.7142857142857143</c:v>
                </c:pt>
                <c:pt idx="8">
                  <c:v>0.7142857142857143</c:v>
                </c:pt>
                <c:pt idx="9">
                  <c:v>0.7142857142857143</c:v>
                </c:pt>
                <c:pt idx="11">
                  <c:v>0.7142857142857143</c:v>
                </c:pt>
                <c:pt idx="12">
                  <c:v>0.95</c:v>
                </c:pt>
                <c:pt idx="14">
                  <c:v>1.6</c:v>
                </c:pt>
                <c:pt idx="15">
                  <c:v>5.735714285714286</c:v>
                </c:pt>
                <c:pt idx="16">
                  <c:v>0.7142857142857143</c:v>
                </c:pt>
                <c:pt idx="17">
                  <c:v>0.7142857142857143</c:v>
                </c:pt>
                <c:pt idx="18">
                  <c:v>0.7142857142857143</c:v>
                </c:pt>
                <c:pt idx="19">
                  <c:v>3.7142857142857144</c:v>
                </c:pt>
                <c:pt idx="20">
                  <c:v>0.7142857142857143</c:v>
                </c:pt>
                <c:pt idx="21">
                  <c:v>0.7142857142857143</c:v>
                </c:pt>
                <c:pt idx="22">
                  <c:v>0.7142857142857143</c:v>
                </c:pt>
                <c:pt idx="23">
                  <c:v>0.7142857142857143</c:v>
                </c:pt>
                <c:pt idx="25">
                  <c:v>0.7142857142857143</c:v>
                </c:pt>
                <c:pt idx="26">
                  <c:v>10.857142857142858</c:v>
                </c:pt>
                <c:pt idx="27">
                  <c:v>0.7142857142857143</c:v>
                </c:pt>
                <c:pt idx="28">
                  <c:v>0.7142857142857143</c:v>
                </c:pt>
                <c:pt idx="29">
                  <c:v>0.7142857142857143</c:v>
                </c:pt>
                <c:pt idx="30">
                  <c:v>0.7142857142857143</c:v>
                </c:pt>
                <c:pt idx="31">
                  <c:v>0.7857142857142856</c:v>
                </c:pt>
                <c:pt idx="32">
                  <c:v>0.7142857142857143</c:v>
                </c:pt>
                <c:pt idx="33">
                  <c:v>0.7142857142857143</c:v>
                </c:pt>
                <c:pt idx="34">
                  <c:v>0.7142857142857143</c:v>
                </c:pt>
                <c:pt idx="35">
                  <c:v>0.7142857142857143</c:v>
                </c:pt>
                <c:pt idx="36">
                  <c:v>0.7142857142857143</c:v>
                </c:pt>
                <c:pt idx="37">
                  <c:v>0.7142857142857143</c:v>
                </c:pt>
                <c:pt idx="38">
                  <c:v>3.071428571428571</c:v>
                </c:pt>
                <c:pt idx="39">
                  <c:v>3.357142857142857</c:v>
                </c:pt>
                <c:pt idx="40">
                  <c:v>1.142857142857143</c:v>
                </c:pt>
                <c:pt idx="41">
                  <c:v>0.7142857142857143</c:v>
                </c:pt>
                <c:pt idx="42">
                  <c:v>0.7142857142857143</c:v>
                </c:pt>
                <c:pt idx="43">
                  <c:v>1.5714285714285712</c:v>
                </c:pt>
                <c:pt idx="44">
                  <c:v>0.8571428571428572</c:v>
                </c:pt>
                <c:pt idx="45">
                  <c:v>0.7142857142857143</c:v>
                </c:pt>
                <c:pt idx="46">
                  <c:v>0.7142857142857143</c:v>
                </c:pt>
                <c:pt idx="47">
                  <c:v>0.7142857142857143</c:v>
                </c:pt>
                <c:pt idx="48">
                  <c:v>0.7142857142857143</c:v>
                </c:pt>
                <c:pt idx="49">
                  <c:v>0.7142857142857143</c:v>
                </c:pt>
                <c:pt idx="50">
                  <c:v>0.7142857142857143</c:v>
                </c:pt>
                <c:pt idx="51">
                  <c:v>3.6428571428571423</c:v>
                </c:pt>
                <c:pt idx="52">
                  <c:v>0.7142857142857143</c:v>
                </c:pt>
                <c:pt idx="53">
                  <c:v>1.2142857142857144</c:v>
                </c:pt>
                <c:pt idx="54">
                  <c:v>1.5714285714285712</c:v>
                </c:pt>
                <c:pt idx="55">
                  <c:v>1</c:v>
                </c:pt>
                <c:pt idx="56">
                  <c:v>0.7142857142857143</c:v>
                </c:pt>
                <c:pt idx="57">
                  <c:v>0.7142857142857143</c:v>
                </c:pt>
                <c:pt idx="58">
                  <c:v>0.7142857142857143</c:v>
                </c:pt>
                <c:pt idx="59">
                  <c:v>1.7857142857142858</c:v>
                </c:pt>
                <c:pt idx="60">
                  <c:v>0.7142857142857143</c:v>
                </c:pt>
                <c:pt idx="61">
                  <c:v>0.7142857142857143</c:v>
                </c:pt>
                <c:pt idx="62">
                  <c:v>0.7142857142857143</c:v>
                </c:pt>
                <c:pt idx="63">
                  <c:v>0.7142857142857143</c:v>
                </c:pt>
                <c:pt idx="64">
                  <c:v>0.7142857142857143</c:v>
                </c:pt>
                <c:pt idx="65">
                  <c:v>0.7142857142857143</c:v>
                </c:pt>
                <c:pt idx="66">
                  <c:v>0.7557142857142858</c:v>
                </c:pt>
                <c:pt idx="67">
                  <c:v>1.0714285714285714</c:v>
                </c:pt>
                <c:pt idx="68">
                  <c:v>1.142857142857143</c:v>
                </c:pt>
                <c:pt idx="69">
                  <c:v>0.7142857142857143</c:v>
                </c:pt>
                <c:pt idx="70">
                  <c:v>0.7142857142857143</c:v>
                </c:pt>
                <c:pt idx="71">
                  <c:v>0.7142857142857143</c:v>
                </c:pt>
                <c:pt idx="73">
                  <c:v>0.7142857142857143</c:v>
                </c:pt>
                <c:pt idx="74">
                  <c:v>0.7142857142857143</c:v>
                </c:pt>
                <c:pt idx="75">
                  <c:v>0.7142857142857143</c:v>
                </c:pt>
                <c:pt idx="76">
                  <c:v>1.4285714285714286</c:v>
                </c:pt>
                <c:pt idx="77">
                  <c:v>0.7142857142857143</c:v>
                </c:pt>
                <c:pt idx="78">
                  <c:v>0.7142857142857143</c:v>
                </c:pt>
                <c:pt idx="79">
                  <c:v>0.7142857142857143</c:v>
                </c:pt>
                <c:pt idx="80">
                  <c:v>0.7142857142857143</c:v>
                </c:pt>
                <c:pt idx="81">
                  <c:v>1.6428571428571428</c:v>
                </c:pt>
                <c:pt idx="82">
                  <c:v>0.7142857142857143</c:v>
                </c:pt>
                <c:pt idx="83">
                  <c:v>0.7142857142857143</c:v>
                </c:pt>
                <c:pt idx="84">
                  <c:v>0.7142857142857143</c:v>
                </c:pt>
                <c:pt idx="85">
                  <c:v>0.7142857142857143</c:v>
                </c:pt>
                <c:pt idx="86">
                  <c:v>0.7142857142857143</c:v>
                </c:pt>
                <c:pt idx="87">
                  <c:v>0.7142857142857143</c:v>
                </c:pt>
                <c:pt idx="88">
                  <c:v>9.642857142857144</c:v>
                </c:pt>
                <c:pt idx="90">
                  <c:v>0.7857142857142856</c:v>
                </c:pt>
              </c:numCache>
            </c:numRef>
          </c:val>
          <c:smooth val="0"/>
        </c:ser>
        <c:marker val="1"/>
        <c:axId val="51329228"/>
        <c:axId val="59309869"/>
      </c:lineChart>
      <c:dateAx>
        <c:axId val="5132922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986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930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2922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7"/>
          <c:w val="0.914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data'!$AJ$8:$AJ$98</c:f>
              <c:numCache>
                <c:ptCount val="91"/>
                <c:pt idx="0">
                  <c:v>1.7857142857142858</c:v>
                </c:pt>
                <c:pt idx="1">
                  <c:v>3.088571428571429</c:v>
                </c:pt>
                <c:pt idx="2">
                  <c:v>6.307857142857143</c:v>
                </c:pt>
                <c:pt idx="3">
                  <c:v>3.1178571428571433</c:v>
                </c:pt>
                <c:pt idx="4">
                  <c:v>3.7514285714285713</c:v>
                </c:pt>
                <c:pt idx="5">
                  <c:v>8.792857142857143</c:v>
                </c:pt>
                <c:pt idx="6">
                  <c:v>1.7857142857142858</c:v>
                </c:pt>
                <c:pt idx="7">
                  <c:v>2.487857142857143</c:v>
                </c:pt>
                <c:pt idx="8">
                  <c:v>1.7857142857142858</c:v>
                </c:pt>
                <c:pt idx="9">
                  <c:v>3.2842857142857143</c:v>
                </c:pt>
                <c:pt idx="11">
                  <c:v>1.7857142857142858</c:v>
                </c:pt>
                <c:pt idx="12">
                  <c:v>1.82</c:v>
                </c:pt>
                <c:pt idx="14">
                  <c:v>4.0407142857142855</c:v>
                </c:pt>
                <c:pt idx="15">
                  <c:v>1.7857142857142858</c:v>
                </c:pt>
                <c:pt idx="16">
                  <c:v>7.378571428571429</c:v>
                </c:pt>
                <c:pt idx="17">
                  <c:v>5.770714285714286</c:v>
                </c:pt>
                <c:pt idx="18">
                  <c:v>1.7857142857142858</c:v>
                </c:pt>
                <c:pt idx="19">
                  <c:v>2.9442857142857144</c:v>
                </c:pt>
                <c:pt idx="20">
                  <c:v>2.4707142857142856</c:v>
                </c:pt>
                <c:pt idx="21">
                  <c:v>2.9321428571428574</c:v>
                </c:pt>
                <c:pt idx="22">
                  <c:v>6.646428571428571</c:v>
                </c:pt>
                <c:pt idx="23">
                  <c:v>3.9214285714285713</c:v>
                </c:pt>
                <c:pt idx="25">
                  <c:v>1.7857142857142858</c:v>
                </c:pt>
                <c:pt idx="26">
                  <c:v>1.949285714285714</c:v>
                </c:pt>
                <c:pt idx="27">
                  <c:v>1.8171428571428572</c:v>
                </c:pt>
                <c:pt idx="28">
                  <c:v>1.7857142857142858</c:v>
                </c:pt>
                <c:pt idx="29">
                  <c:v>1.7857142857142858</c:v>
                </c:pt>
                <c:pt idx="30">
                  <c:v>1.8571428571428572</c:v>
                </c:pt>
                <c:pt idx="31">
                  <c:v>2.0714285714285716</c:v>
                </c:pt>
                <c:pt idx="32">
                  <c:v>2</c:v>
                </c:pt>
                <c:pt idx="33">
                  <c:v>3.6428571428571423</c:v>
                </c:pt>
                <c:pt idx="34">
                  <c:v>2.6428571428571423</c:v>
                </c:pt>
                <c:pt idx="35">
                  <c:v>3.1964285714285716</c:v>
                </c:pt>
                <c:pt idx="36">
                  <c:v>6.2142857142857135</c:v>
                </c:pt>
                <c:pt idx="37">
                  <c:v>1.7857142857142858</c:v>
                </c:pt>
                <c:pt idx="38">
                  <c:v>1.7857142857142858</c:v>
                </c:pt>
                <c:pt idx="39">
                  <c:v>1.7857142857142858</c:v>
                </c:pt>
                <c:pt idx="40">
                  <c:v>1.7857142857142858</c:v>
                </c:pt>
                <c:pt idx="41">
                  <c:v>1.9107142857142858</c:v>
                </c:pt>
                <c:pt idx="42">
                  <c:v>1.7857142857142858</c:v>
                </c:pt>
                <c:pt idx="43">
                  <c:v>1.7857142857142858</c:v>
                </c:pt>
                <c:pt idx="44">
                  <c:v>1.8092857142857142</c:v>
                </c:pt>
                <c:pt idx="45">
                  <c:v>3.1021428571428578</c:v>
                </c:pt>
                <c:pt idx="46">
                  <c:v>2.6678571428571427</c:v>
                </c:pt>
                <c:pt idx="47">
                  <c:v>3.1057142857142854</c:v>
                </c:pt>
                <c:pt idx="48">
                  <c:v>4.527857142857143</c:v>
                </c:pt>
                <c:pt idx="49">
                  <c:v>2.9185714285714286</c:v>
                </c:pt>
                <c:pt idx="50">
                  <c:v>1.7857142857142858</c:v>
                </c:pt>
                <c:pt idx="51">
                  <c:v>2.814285714285714</c:v>
                </c:pt>
                <c:pt idx="52">
                  <c:v>2.005714285714286</c:v>
                </c:pt>
                <c:pt idx="53">
                  <c:v>1.7857142857142858</c:v>
                </c:pt>
                <c:pt idx="54">
                  <c:v>2.6414285714285715</c:v>
                </c:pt>
                <c:pt idx="55">
                  <c:v>5.7214285714285715</c:v>
                </c:pt>
                <c:pt idx="56">
                  <c:v>1.7857142857142858</c:v>
                </c:pt>
                <c:pt idx="57">
                  <c:v>1.7857142857142858</c:v>
                </c:pt>
                <c:pt idx="58">
                  <c:v>3.8649999999999998</c:v>
                </c:pt>
                <c:pt idx="59">
                  <c:v>2.0164285714285715</c:v>
                </c:pt>
                <c:pt idx="60">
                  <c:v>1.7857142857142858</c:v>
                </c:pt>
                <c:pt idx="61">
                  <c:v>1.7857142857142858</c:v>
                </c:pt>
                <c:pt idx="62">
                  <c:v>1.7857142857142858</c:v>
                </c:pt>
                <c:pt idx="63">
                  <c:v>1.7857142857142858</c:v>
                </c:pt>
                <c:pt idx="64">
                  <c:v>1.7857142857142858</c:v>
                </c:pt>
                <c:pt idx="65">
                  <c:v>1.7857142857142858</c:v>
                </c:pt>
                <c:pt idx="66">
                  <c:v>1.8378571428571429</c:v>
                </c:pt>
                <c:pt idx="67">
                  <c:v>1.7857142857142858</c:v>
                </c:pt>
                <c:pt idx="68">
                  <c:v>1.7857142857142858</c:v>
                </c:pt>
                <c:pt idx="69">
                  <c:v>1.7857142857142858</c:v>
                </c:pt>
                <c:pt idx="70">
                  <c:v>2.5157142857142856</c:v>
                </c:pt>
                <c:pt idx="71">
                  <c:v>1.7857142857142858</c:v>
                </c:pt>
                <c:pt idx="73">
                  <c:v>3.499285714285714</c:v>
                </c:pt>
                <c:pt idx="74">
                  <c:v>3.5235714285714286</c:v>
                </c:pt>
                <c:pt idx="75">
                  <c:v>1.8392857142857142</c:v>
                </c:pt>
                <c:pt idx="76">
                  <c:v>1.8392857142857142</c:v>
                </c:pt>
                <c:pt idx="77">
                  <c:v>1.7857142857142858</c:v>
                </c:pt>
                <c:pt idx="78">
                  <c:v>1.7857142857142858</c:v>
                </c:pt>
                <c:pt idx="79">
                  <c:v>2.108571428571429</c:v>
                </c:pt>
                <c:pt idx="80">
                  <c:v>1.837142857142857</c:v>
                </c:pt>
                <c:pt idx="81">
                  <c:v>2.0771428571428574</c:v>
                </c:pt>
                <c:pt idx="82">
                  <c:v>1.7857142857142858</c:v>
                </c:pt>
                <c:pt idx="83">
                  <c:v>1.835</c:v>
                </c:pt>
                <c:pt idx="84">
                  <c:v>2.599285714285714</c:v>
                </c:pt>
                <c:pt idx="85">
                  <c:v>3.604285714285714</c:v>
                </c:pt>
                <c:pt idx="86">
                  <c:v>5.537857142857143</c:v>
                </c:pt>
                <c:pt idx="87">
                  <c:v>2.245</c:v>
                </c:pt>
                <c:pt idx="90">
                  <c:v>2.072142857142857</c:v>
                </c:pt>
              </c:numCache>
            </c:numRef>
          </c:val>
          <c:smooth val="0"/>
        </c:ser>
        <c:marker val="1"/>
        <c:axId val="64026774"/>
        <c:axId val="39370055"/>
      </c:lineChart>
      <c:dateAx>
        <c:axId val="64026774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005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370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677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Alkalinity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725"/>
          <c:w val="0.9147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'[1]Stream gauge 6 data'!$A$8:$A$58</c:f>
              <c:numCache>
                <c:ptCount val="51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38405</c:v>
                </c:pt>
                <c:pt idx="9">
                  <c:v>38419</c:v>
                </c:pt>
                <c:pt idx="10">
                  <c:v>38433</c:v>
                </c:pt>
                <c:pt idx="11">
                  <c:v>38447</c:v>
                </c:pt>
                <c:pt idx="12">
                  <c:v>38461</c:v>
                </c:pt>
                <c:pt idx="13">
                  <c:v>38475</c:v>
                </c:pt>
                <c:pt idx="14">
                  <c:v>38489</c:v>
                </c:pt>
                <c:pt idx="15">
                  <c:v>38503</c:v>
                </c:pt>
                <c:pt idx="16">
                  <c:v>38517</c:v>
                </c:pt>
                <c:pt idx="17">
                  <c:v>38531</c:v>
                </c:pt>
                <c:pt idx="18">
                  <c:v>38545</c:v>
                </c:pt>
                <c:pt idx="19">
                  <c:v>38559</c:v>
                </c:pt>
                <c:pt idx="20">
                  <c:v>38573</c:v>
                </c:pt>
                <c:pt idx="21">
                  <c:v>38588</c:v>
                </c:pt>
                <c:pt idx="22">
                  <c:v>38601</c:v>
                </c:pt>
                <c:pt idx="23">
                  <c:v>38615</c:v>
                </c:pt>
                <c:pt idx="24">
                  <c:v>38643</c:v>
                </c:pt>
                <c:pt idx="25">
                  <c:v>38657</c:v>
                </c:pt>
                <c:pt idx="26">
                  <c:v>38670</c:v>
                </c:pt>
                <c:pt idx="27">
                  <c:v>38698</c:v>
                </c:pt>
                <c:pt idx="28">
                  <c:v>38726</c:v>
                </c:pt>
                <c:pt idx="29">
                  <c:v>38754</c:v>
                </c:pt>
                <c:pt idx="30">
                  <c:v>38810</c:v>
                </c:pt>
                <c:pt idx="31">
                  <c:v>38825</c:v>
                </c:pt>
                <c:pt idx="32">
                  <c:v>38840</c:v>
                </c:pt>
                <c:pt idx="33">
                  <c:v>38852</c:v>
                </c:pt>
                <c:pt idx="34">
                  <c:v>38866</c:v>
                </c:pt>
                <c:pt idx="35">
                  <c:v>38910</c:v>
                </c:pt>
                <c:pt idx="36">
                  <c:v>38966</c:v>
                </c:pt>
                <c:pt idx="37">
                  <c:v>38980</c:v>
                </c:pt>
                <c:pt idx="38">
                  <c:v>39022</c:v>
                </c:pt>
                <c:pt idx="39">
                  <c:v>39126</c:v>
                </c:pt>
                <c:pt idx="40">
                  <c:v>39140</c:v>
                </c:pt>
                <c:pt idx="41">
                  <c:v>39168</c:v>
                </c:pt>
                <c:pt idx="42">
                  <c:v>39182</c:v>
                </c:pt>
                <c:pt idx="43">
                  <c:v>39195</c:v>
                </c:pt>
                <c:pt idx="44">
                  <c:v>39223</c:v>
                </c:pt>
                <c:pt idx="45">
                  <c:v>39251</c:v>
                </c:pt>
                <c:pt idx="46">
                  <c:v>39293</c:v>
                </c:pt>
                <c:pt idx="47">
                  <c:v>39328</c:v>
                </c:pt>
                <c:pt idx="48">
                  <c:v>39348</c:v>
                </c:pt>
                <c:pt idx="49">
                  <c:v>39364</c:v>
                </c:pt>
                <c:pt idx="50">
                  <c:v>39428</c:v>
                </c:pt>
              </c:numCache>
            </c:numRef>
          </c:cat>
          <c:val>
            <c:numRef>
              <c:f>'[1]Stream gauge 6 data'!$BR$8:$BR$58</c:f>
              <c:numCache>
                <c:ptCount val="51"/>
                <c:pt idx="0">
                  <c:v>30.433916491479522</c:v>
                </c:pt>
                <c:pt idx="1">
                  <c:v>58.52011008918619</c:v>
                </c:pt>
                <c:pt idx="2">
                  <c:v>65.31764862239211</c:v>
                </c:pt>
                <c:pt idx="3">
                  <c:v>45.56936514572385</c:v>
                </c:pt>
                <c:pt idx="4">
                  <c:v>54.16364747571271</c:v>
                </c:pt>
                <c:pt idx="5">
                  <c:v>49.09721372830069</c:v>
                </c:pt>
                <c:pt idx="6">
                  <c:v>-14.491708472686739</c:v>
                </c:pt>
                <c:pt idx="7">
                  <c:v>27.82994027711422</c:v>
                </c:pt>
                <c:pt idx="8">
                  <c:v>32.43248526835487</c:v>
                </c:pt>
                <c:pt idx="9">
                  <c:v>19.204752906513818</c:v>
                </c:pt>
                <c:pt idx="10">
                  <c:v>16.673735069278536</c:v>
                </c:pt>
                <c:pt idx="11">
                  <c:v>22.644203495779607</c:v>
                </c:pt>
                <c:pt idx="12">
                  <c:v>33.88100991399904</c:v>
                </c:pt>
                <c:pt idx="13">
                  <c:v>42.81452026596594</c:v>
                </c:pt>
                <c:pt idx="14">
                  <c:v>52.669781860168825</c:v>
                </c:pt>
                <c:pt idx="15">
                  <c:v>43.22812275043795</c:v>
                </c:pt>
                <c:pt idx="16">
                  <c:v>54.08408237776716</c:v>
                </c:pt>
                <c:pt idx="17">
                  <c:v>40.56897834050005</c:v>
                </c:pt>
                <c:pt idx="18">
                  <c:v>37.823032449434606</c:v>
                </c:pt>
                <c:pt idx="19">
                  <c:v>64.6730947523491</c:v>
                </c:pt>
                <c:pt idx="20">
                  <c:v>59.34536161809203</c:v>
                </c:pt>
                <c:pt idx="21">
                  <c:v>61.243463569039676</c:v>
                </c:pt>
                <c:pt idx="22">
                  <c:v>61.94349462494027</c:v>
                </c:pt>
                <c:pt idx="23">
                  <c:v>51.774201106864155</c:v>
                </c:pt>
                <c:pt idx="24">
                  <c:v>45.156953734671106</c:v>
                </c:pt>
                <c:pt idx="25">
                  <c:v>45.06375756489889</c:v>
                </c:pt>
                <c:pt idx="26">
                  <c:v>28.25181569517443</c:v>
                </c:pt>
                <c:pt idx="27">
                  <c:v>32.78282150820195</c:v>
                </c:pt>
                <c:pt idx="28">
                  <c:v>42.70690356744706</c:v>
                </c:pt>
                <c:pt idx="29">
                  <c:v>64.74417881032014</c:v>
                </c:pt>
                <c:pt idx="30">
                  <c:v>33.10891861761431</c:v>
                </c:pt>
                <c:pt idx="31">
                  <c:v>46.25484989648032</c:v>
                </c:pt>
                <c:pt idx="32">
                  <c:v>46.98043518076126</c:v>
                </c:pt>
                <c:pt idx="33">
                  <c:v>45.66694179009397</c:v>
                </c:pt>
                <c:pt idx="34">
                  <c:v>37.49773985706324</c:v>
                </c:pt>
                <c:pt idx="35">
                  <c:v>51.520650183150195</c:v>
                </c:pt>
                <c:pt idx="36">
                  <c:v>62.010817805383056</c:v>
                </c:pt>
                <c:pt idx="37">
                  <c:v>59.376194457716224</c:v>
                </c:pt>
                <c:pt idx="38">
                  <c:v>73.25704730052558</c:v>
                </c:pt>
                <c:pt idx="39">
                  <c:v>32.10392976588628</c:v>
                </c:pt>
                <c:pt idx="40">
                  <c:v>31.608848940914157</c:v>
                </c:pt>
                <c:pt idx="41">
                  <c:v>63.813139233954445</c:v>
                </c:pt>
                <c:pt idx="42">
                  <c:v>77.18786231884059</c:v>
                </c:pt>
                <c:pt idx="43">
                  <c:v>125.23762939958598</c:v>
                </c:pt>
                <c:pt idx="44">
                  <c:v>87.57513636725594</c:v>
                </c:pt>
                <c:pt idx="45">
                  <c:v>79.83452739289694</c:v>
                </c:pt>
                <c:pt idx="46">
                  <c:v>96.61168418537987</c:v>
                </c:pt>
                <c:pt idx="47">
                  <c:v>78.43289277751231</c:v>
                </c:pt>
                <c:pt idx="48">
                  <c:v>96.49126695134575</c:v>
                </c:pt>
                <c:pt idx="49">
                  <c:v>100.70406987577638</c:v>
                </c:pt>
                <c:pt idx="50">
                  <c:v>73.43880255613952</c:v>
                </c:pt>
              </c:numCache>
            </c:numRef>
          </c:val>
          <c:smooth val="0"/>
        </c:ser>
        <c:marker val="1"/>
        <c:axId val="33940780"/>
        <c:axId val="37031565"/>
      </c:lineChart>
      <c:catAx>
        <c:axId val="33940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Macaulay Land Use Research Institute 2009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1565"/>
        <c:crosses val="autoZero"/>
        <c:auto val="1"/>
        <c:lblOffset val="100"/>
        <c:tickLblSkip val="4"/>
        <c:noMultiLvlLbl val="0"/>
      </c:catAx>
      <c:valAx>
        <c:axId val="37031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78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pH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725"/>
          <c:w val="0.9197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data'!$R$8:$R$98</c:f>
              <c:numCache>
                <c:ptCount val="91"/>
                <c:pt idx="0">
                  <c:v>6.14</c:v>
                </c:pt>
                <c:pt idx="1">
                  <c:v>6.49</c:v>
                </c:pt>
                <c:pt idx="2">
                  <c:v>6.59</c:v>
                </c:pt>
                <c:pt idx="3">
                  <c:v>6.61</c:v>
                </c:pt>
                <c:pt idx="4">
                  <c:v>6.52</c:v>
                </c:pt>
                <c:pt idx="5">
                  <c:v>6.7</c:v>
                </c:pt>
                <c:pt idx="6">
                  <c:v>6.37</c:v>
                </c:pt>
                <c:pt idx="7">
                  <c:v>6.7</c:v>
                </c:pt>
                <c:pt idx="8">
                  <c:v>6.55</c:v>
                </c:pt>
                <c:pt idx="9">
                  <c:v>6.59</c:v>
                </c:pt>
                <c:pt idx="11">
                  <c:v>6.56</c:v>
                </c:pt>
                <c:pt idx="12">
                  <c:v>6.73</c:v>
                </c:pt>
                <c:pt idx="14">
                  <c:v>6.79</c:v>
                </c:pt>
                <c:pt idx="15">
                  <c:v>6.65</c:v>
                </c:pt>
                <c:pt idx="16">
                  <c:v>6.65</c:v>
                </c:pt>
                <c:pt idx="17">
                  <c:v>6.85</c:v>
                </c:pt>
                <c:pt idx="18">
                  <c:v>6.64</c:v>
                </c:pt>
                <c:pt idx="19">
                  <c:v>6.6</c:v>
                </c:pt>
                <c:pt idx="20">
                  <c:v>6.63</c:v>
                </c:pt>
                <c:pt idx="21">
                  <c:v>6.49</c:v>
                </c:pt>
                <c:pt idx="22">
                  <c:v>6.71</c:v>
                </c:pt>
                <c:pt idx="23">
                  <c:v>6.73</c:v>
                </c:pt>
                <c:pt idx="25">
                  <c:v>6.48</c:v>
                </c:pt>
                <c:pt idx="26">
                  <c:v>6.36</c:v>
                </c:pt>
                <c:pt idx="27">
                  <c:v>6.55</c:v>
                </c:pt>
                <c:pt idx="28">
                  <c:v>6.58</c:v>
                </c:pt>
                <c:pt idx="29">
                  <c:v>6.82</c:v>
                </c:pt>
                <c:pt idx="30">
                  <c:v>6.71</c:v>
                </c:pt>
                <c:pt idx="31">
                  <c:v>6.67</c:v>
                </c:pt>
                <c:pt idx="32">
                  <c:v>6.49</c:v>
                </c:pt>
                <c:pt idx="33">
                  <c:v>6.73</c:v>
                </c:pt>
                <c:pt idx="34">
                  <c:v>6.57</c:v>
                </c:pt>
                <c:pt idx="35">
                  <c:v>6.5</c:v>
                </c:pt>
                <c:pt idx="36">
                  <c:v>6.63</c:v>
                </c:pt>
                <c:pt idx="37">
                  <c:v>6.74</c:v>
                </c:pt>
                <c:pt idx="38">
                  <c:v>6.68</c:v>
                </c:pt>
                <c:pt idx="39">
                  <c:v>6.66</c:v>
                </c:pt>
                <c:pt idx="40">
                  <c:v>6.66</c:v>
                </c:pt>
                <c:pt idx="41">
                  <c:v>6.73</c:v>
                </c:pt>
                <c:pt idx="42">
                  <c:v>6.73</c:v>
                </c:pt>
                <c:pt idx="43">
                  <c:v>6.56</c:v>
                </c:pt>
                <c:pt idx="44">
                  <c:v>6.5</c:v>
                </c:pt>
                <c:pt idx="45">
                  <c:v>6.71</c:v>
                </c:pt>
                <c:pt idx="46">
                  <c:v>6.59</c:v>
                </c:pt>
                <c:pt idx="47">
                  <c:v>6.61</c:v>
                </c:pt>
                <c:pt idx="48">
                  <c:v>6.7</c:v>
                </c:pt>
                <c:pt idx="49">
                  <c:v>6.65</c:v>
                </c:pt>
                <c:pt idx="50">
                  <c:v>6.57</c:v>
                </c:pt>
                <c:pt idx="51">
                  <c:v>6.71</c:v>
                </c:pt>
                <c:pt idx="52">
                  <c:v>6.67</c:v>
                </c:pt>
                <c:pt idx="53">
                  <c:v>6.72</c:v>
                </c:pt>
                <c:pt idx="54">
                  <c:v>6.52</c:v>
                </c:pt>
                <c:pt idx="55">
                  <c:v>6.58</c:v>
                </c:pt>
                <c:pt idx="56">
                  <c:v>6.62</c:v>
                </c:pt>
                <c:pt idx="57">
                  <c:v>6.396</c:v>
                </c:pt>
                <c:pt idx="58">
                  <c:v>6.473</c:v>
                </c:pt>
                <c:pt idx="59">
                  <c:v>6.413</c:v>
                </c:pt>
                <c:pt idx="60">
                  <c:v>6.442</c:v>
                </c:pt>
                <c:pt idx="61">
                  <c:v>6.324</c:v>
                </c:pt>
                <c:pt idx="62">
                  <c:v>6.611</c:v>
                </c:pt>
                <c:pt idx="63">
                  <c:v>6.751</c:v>
                </c:pt>
                <c:pt idx="64">
                  <c:v>6.676</c:v>
                </c:pt>
                <c:pt idx="65">
                  <c:v>6.774</c:v>
                </c:pt>
                <c:pt idx="66">
                  <c:v>6.705</c:v>
                </c:pt>
                <c:pt idx="67">
                  <c:v>6.164</c:v>
                </c:pt>
                <c:pt idx="68">
                  <c:v>6.776</c:v>
                </c:pt>
                <c:pt idx="69">
                  <c:v>6.608</c:v>
                </c:pt>
                <c:pt idx="70">
                  <c:v>6.735</c:v>
                </c:pt>
                <c:pt idx="71">
                  <c:v>6.715</c:v>
                </c:pt>
                <c:pt idx="73">
                  <c:v>6.422</c:v>
                </c:pt>
                <c:pt idx="74">
                  <c:v>6.182</c:v>
                </c:pt>
                <c:pt idx="75">
                  <c:v>6.219</c:v>
                </c:pt>
                <c:pt idx="76">
                  <c:v>6.448</c:v>
                </c:pt>
                <c:pt idx="77">
                  <c:v>6.502</c:v>
                </c:pt>
                <c:pt idx="78">
                  <c:v>6.268</c:v>
                </c:pt>
                <c:pt idx="79">
                  <c:v>6.694</c:v>
                </c:pt>
                <c:pt idx="80">
                  <c:v>6.291</c:v>
                </c:pt>
                <c:pt idx="81">
                  <c:v>6.681</c:v>
                </c:pt>
                <c:pt idx="82">
                  <c:v>6.541</c:v>
                </c:pt>
                <c:pt idx="83">
                  <c:v>6.62</c:v>
                </c:pt>
                <c:pt idx="84">
                  <c:v>6.606</c:v>
                </c:pt>
                <c:pt idx="85">
                  <c:v>6.575</c:v>
                </c:pt>
                <c:pt idx="86">
                  <c:v>6.581</c:v>
                </c:pt>
                <c:pt idx="87">
                  <c:v>6.377</c:v>
                </c:pt>
                <c:pt idx="88">
                  <c:v>6.062</c:v>
                </c:pt>
                <c:pt idx="90">
                  <c:v>6.309</c:v>
                </c:pt>
              </c:numCache>
            </c:numRef>
          </c:val>
          <c:smooth val="0"/>
        </c:ser>
        <c:marker val="1"/>
        <c:axId val="18786176"/>
        <c:axId val="34857857"/>
      </c:lineChart>
      <c:dateAx>
        <c:axId val="1878617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85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4857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17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data'!$AS$8:$AS$98</c:f>
              <c:numCache>
                <c:ptCount val="91"/>
                <c:pt idx="0">
                  <c:v>4.838709677419355</c:v>
                </c:pt>
                <c:pt idx="1">
                  <c:v>4.838709677419355</c:v>
                </c:pt>
                <c:pt idx="2">
                  <c:v>4.838709677419355</c:v>
                </c:pt>
                <c:pt idx="3">
                  <c:v>4.838709677419355</c:v>
                </c:pt>
                <c:pt idx="4">
                  <c:v>4.838709677419355</c:v>
                </c:pt>
                <c:pt idx="5">
                  <c:v>4.838709677419355</c:v>
                </c:pt>
                <c:pt idx="6">
                  <c:v>4.838709677419355</c:v>
                </c:pt>
                <c:pt idx="7">
                  <c:v>4.838709677419355</c:v>
                </c:pt>
                <c:pt idx="8">
                  <c:v>4.838709677419355</c:v>
                </c:pt>
                <c:pt idx="9">
                  <c:v>4.838709677419355</c:v>
                </c:pt>
                <c:pt idx="11">
                  <c:v>4.838709677419355</c:v>
                </c:pt>
                <c:pt idx="12">
                  <c:v>4.838709677419355</c:v>
                </c:pt>
                <c:pt idx="14">
                  <c:v>4.838709677419355</c:v>
                </c:pt>
                <c:pt idx="15">
                  <c:v>4.838709677419355</c:v>
                </c:pt>
                <c:pt idx="16">
                  <c:v>4.838709677419355</c:v>
                </c:pt>
                <c:pt idx="17">
                  <c:v>4.838709677419355</c:v>
                </c:pt>
                <c:pt idx="18">
                  <c:v>4.838709677419355</c:v>
                </c:pt>
                <c:pt idx="19">
                  <c:v>4.838709677419355</c:v>
                </c:pt>
                <c:pt idx="20">
                  <c:v>4.838709677419355</c:v>
                </c:pt>
                <c:pt idx="21">
                  <c:v>4.838709677419355</c:v>
                </c:pt>
                <c:pt idx="22">
                  <c:v>4.838709677419355</c:v>
                </c:pt>
                <c:pt idx="23">
                  <c:v>4.838709677419355</c:v>
                </c:pt>
                <c:pt idx="25">
                  <c:v>4.838709677419355</c:v>
                </c:pt>
                <c:pt idx="26">
                  <c:v>4.838709677419355</c:v>
                </c:pt>
                <c:pt idx="27">
                  <c:v>4.838709677419355</c:v>
                </c:pt>
                <c:pt idx="28">
                  <c:v>4.838709677419355</c:v>
                </c:pt>
                <c:pt idx="29">
                  <c:v>4.838709677419355</c:v>
                </c:pt>
                <c:pt idx="30">
                  <c:v>4.838709677419355</c:v>
                </c:pt>
                <c:pt idx="31">
                  <c:v>4.838709677419355</c:v>
                </c:pt>
                <c:pt idx="32">
                  <c:v>4.838709677419355</c:v>
                </c:pt>
                <c:pt idx="33">
                  <c:v>4.838709677419355</c:v>
                </c:pt>
                <c:pt idx="34">
                  <c:v>5.806451612903225</c:v>
                </c:pt>
                <c:pt idx="35">
                  <c:v>4.838709677419355</c:v>
                </c:pt>
                <c:pt idx="36">
                  <c:v>4.838709677419355</c:v>
                </c:pt>
                <c:pt idx="37">
                  <c:v>4.838709677419355</c:v>
                </c:pt>
                <c:pt idx="38">
                  <c:v>4.838709677419355</c:v>
                </c:pt>
                <c:pt idx="39">
                  <c:v>4.838709677419355</c:v>
                </c:pt>
                <c:pt idx="40">
                  <c:v>4.838709677419355</c:v>
                </c:pt>
                <c:pt idx="41">
                  <c:v>4.838709677419355</c:v>
                </c:pt>
                <c:pt idx="42">
                  <c:v>4.838709677419355</c:v>
                </c:pt>
                <c:pt idx="43">
                  <c:v>4.838709677419355</c:v>
                </c:pt>
                <c:pt idx="44">
                  <c:v>4.838709677419355</c:v>
                </c:pt>
                <c:pt idx="45">
                  <c:v>4.838709677419355</c:v>
                </c:pt>
                <c:pt idx="46">
                  <c:v>4.838709677419355</c:v>
                </c:pt>
                <c:pt idx="47">
                  <c:v>4.838709677419355</c:v>
                </c:pt>
                <c:pt idx="48">
                  <c:v>4.838709677419355</c:v>
                </c:pt>
                <c:pt idx="49">
                  <c:v>4.838709677419355</c:v>
                </c:pt>
                <c:pt idx="50">
                  <c:v>4.838709677419355</c:v>
                </c:pt>
                <c:pt idx="51">
                  <c:v>4.838709677419355</c:v>
                </c:pt>
                <c:pt idx="52">
                  <c:v>6.903870967741935</c:v>
                </c:pt>
                <c:pt idx="53">
                  <c:v>4.838709677419355</c:v>
                </c:pt>
                <c:pt idx="54">
                  <c:v>4.838709677419355</c:v>
                </c:pt>
                <c:pt idx="55">
                  <c:v>4.838709677419355</c:v>
                </c:pt>
                <c:pt idx="56">
                  <c:v>4.838709677419355</c:v>
                </c:pt>
                <c:pt idx="57">
                  <c:v>4.838709677419355</c:v>
                </c:pt>
                <c:pt idx="58">
                  <c:v>4.838709677419355</c:v>
                </c:pt>
                <c:pt idx="59">
                  <c:v>4.838709677419355</c:v>
                </c:pt>
                <c:pt idx="60">
                  <c:v>4.838709677419355</c:v>
                </c:pt>
                <c:pt idx="61">
                  <c:v>4.838709677419355</c:v>
                </c:pt>
                <c:pt idx="62">
                  <c:v>4.838709677419355</c:v>
                </c:pt>
                <c:pt idx="63">
                  <c:v>4.838709677419355</c:v>
                </c:pt>
                <c:pt idx="64">
                  <c:v>4.838709677419355</c:v>
                </c:pt>
                <c:pt idx="65">
                  <c:v>4.838709677419355</c:v>
                </c:pt>
                <c:pt idx="66">
                  <c:v>4.838709677419355</c:v>
                </c:pt>
                <c:pt idx="67">
                  <c:v>4.838709677419355</c:v>
                </c:pt>
                <c:pt idx="68">
                  <c:v>4.838709677419355</c:v>
                </c:pt>
                <c:pt idx="69">
                  <c:v>4.838709677419355</c:v>
                </c:pt>
                <c:pt idx="70">
                  <c:v>4.838709677419355</c:v>
                </c:pt>
                <c:pt idx="71">
                  <c:v>4.838709677419355</c:v>
                </c:pt>
                <c:pt idx="73">
                  <c:v>4.838709677419355</c:v>
                </c:pt>
                <c:pt idx="74">
                  <c:v>4.838709677419355</c:v>
                </c:pt>
                <c:pt idx="75">
                  <c:v>4.838709677419355</c:v>
                </c:pt>
                <c:pt idx="76">
                  <c:v>4.838709677419355</c:v>
                </c:pt>
                <c:pt idx="77">
                  <c:v>4.838709677419355</c:v>
                </c:pt>
                <c:pt idx="78">
                  <c:v>4.838709677419355</c:v>
                </c:pt>
                <c:pt idx="79">
                  <c:v>4.838709677419355</c:v>
                </c:pt>
                <c:pt idx="80">
                  <c:v>4.838709677419355</c:v>
                </c:pt>
                <c:pt idx="81">
                  <c:v>4.838709677419355</c:v>
                </c:pt>
                <c:pt idx="82">
                  <c:v>4.838709677419355</c:v>
                </c:pt>
                <c:pt idx="83">
                  <c:v>4.838709677419355</c:v>
                </c:pt>
                <c:pt idx="84">
                  <c:v>4.838709677419355</c:v>
                </c:pt>
                <c:pt idx="85">
                  <c:v>4.838709677419355</c:v>
                </c:pt>
                <c:pt idx="86">
                  <c:v>4.838709677419355</c:v>
                </c:pt>
                <c:pt idx="87">
                  <c:v>4.838709677419355</c:v>
                </c:pt>
                <c:pt idx="88">
                  <c:v>4.838709677419355</c:v>
                </c:pt>
                <c:pt idx="90">
                  <c:v>4.838709677419355</c:v>
                </c:pt>
              </c:numCache>
            </c:numRef>
          </c:val>
          <c:smooth val="0"/>
        </c:ser>
        <c:marker val="1"/>
        <c:axId val="45285258"/>
        <c:axId val="4914139"/>
      </c:lineChart>
      <c:dateAx>
        <c:axId val="4528525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413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914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525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7"/>
          <c:w val="0.914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data'!$AK$8:$AK$98</c:f>
              <c:numCache>
                <c:ptCount val="91"/>
                <c:pt idx="0">
                  <c:v>0.6774193548387097</c:v>
                </c:pt>
                <c:pt idx="1">
                  <c:v>0.5225806451612903</c:v>
                </c:pt>
                <c:pt idx="2">
                  <c:v>1.6741935483870967</c:v>
                </c:pt>
                <c:pt idx="3">
                  <c:v>1.5</c:v>
                </c:pt>
                <c:pt idx="4">
                  <c:v>1.6161290322580646</c:v>
                </c:pt>
                <c:pt idx="5">
                  <c:v>1.0064516129032257</c:v>
                </c:pt>
                <c:pt idx="6">
                  <c:v>0.5225806451612903</c:v>
                </c:pt>
                <c:pt idx="7">
                  <c:v>0.4838709677419355</c:v>
                </c:pt>
                <c:pt idx="8">
                  <c:v>0.4838709677419355</c:v>
                </c:pt>
                <c:pt idx="9">
                  <c:v>0.4838709677419355</c:v>
                </c:pt>
                <c:pt idx="11">
                  <c:v>0.6</c:v>
                </c:pt>
                <c:pt idx="12">
                  <c:v>0.4838709677419355</c:v>
                </c:pt>
                <c:pt idx="14">
                  <c:v>0.4838709677419355</c:v>
                </c:pt>
                <c:pt idx="15">
                  <c:v>0.4838709677419355</c:v>
                </c:pt>
                <c:pt idx="16">
                  <c:v>0.4838709677419355</c:v>
                </c:pt>
                <c:pt idx="17">
                  <c:v>0.4838709677419355</c:v>
                </c:pt>
                <c:pt idx="19">
                  <c:v>0.4838709677419355</c:v>
                </c:pt>
                <c:pt idx="20">
                  <c:v>0.4838709677419355</c:v>
                </c:pt>
                <c:pt idx="21">
                  <c:v>0.4838709677419355</c:v>
                </c:pt>
                <c:pt idx="22">
                  <c:v>0.5225806451612903</c:v>
                </c:pt>
                <c:pt idx="23">
                  <c:v>0.4838709677419355</c:v>
                </c:pt>
                <c:pt idx="25">
                  <c:v>0.4838709677419355</c:v>
                </c:pt>
                <c:pt idx="26">
                  <c:v>0.4838709677419355</c:v>
                </c:pt>
                <c:pt idx="27">
                  <c:v>0.4838709677419355</c:v>
                </c:pt>
                <c:pt idx="28">
                  <c:v>0.4838709677419355</c:v>
                </c:pt>
                <c:pt idx="29">
                  <c:v>0.4838709677419355</c:v>
                </c:pt>
                <c:pt idx="30">
                  <c:v>0.4838709677419355</c:v>
                </c:pt>
                <c:pt idx="31">
                  <c:v>0.4838709677419355</c:v>
                </c:pt>
                <c:pt idx="32">
                  <c:v>0.4838709677419355</c:v>
                </c:pt>
                <c:pt idx="33">
                  <c:v>0.4838709677419355</c:v>
                </c:pt>
                <c:pt idx="34">
                  <c:v>0.4838709677419355</c:v>
                </c:pt>
                <c:pt idx="35">
                  <c:v>0.5806451612903225</c:v>
                </c:pt>
                <c:pt idx="36">
                  <c:v>0.4838709677419355</c:v>
                </c:pt>
                <c:pt idx="37">
                  <c:v>0.4838709677419355</c:v>
                </c:pt>
                <c:pt idx="38">
                  <c:v>0.5806451612903225</c:v>
                </c:pt>
                <c:pt idx="39">
                  <c:v>0.4838709677419355</c:v>
                </c:pt>
                <c:pt idx="40">
                  <c:v>0.4838709677419355</c:v>
                </c:pt>
                <c:pt idx="41">
                  <c:v>0.4838709677419355</c:v>
                </c:pt>
                <c:pt idx="42">
                  <c:v>0.4838709677419355</c:v>
                </c:pt>
                <c:pt idx="43">
                  <c:v>0.4838709677419355</c:v>
                </c:pt>
                <c:pt idx="44">
                  <c:v>0.6774193548387097</c:v>
                </c:pt>
                <c:pt idx="45">
                  <c:v>0.4838709677419355</c:v>
                </c:pt>
                <c:pt idx="46">
                  <c:v>0.4838709677419355</c:v>
                </c:pt>
                <c:pt idx="47">
                  <c:v>0.4838709677419355</c:v>
                </c:pt>
                <c:pt idx="48">
                  <c:v>0.4838709677419355</c:v>
                </c:pt>
                <c:pt idx="49">
                  <c:v>0.4838709677419355</c:v>
                </c:pt>
                <c:pt idx="50">
                  <c:v>0.4838709677419355</c:v>
                </c:pt>
                <c:pt idx="51">
                  <c:v>0.4838709677419355</c:v>
                </c:pt>
                <c:pt idx="52">
                  <c:v>0.4838709677419355</c:v>
                </c:pt>
                <c:pt idx="53">
                  <c:v>0.4838709677419355</c:v>
                </c:pt>
                <c:pt idx="54">
                  <c:v>0.4838709677419355</c:v>
                </c:pt>
                <c:pt idx="55">
                  <c:v>0.4838709677419355</c:v>
                </c:pt>
                <c:pt idx="56">
                  <c:v>0.4838709677419355</c:v>
                </c:pt>
                <c:pt idx="57">
                  <c:v>0.4838709677419355</c:v>
                </c:pt>
                <c:pt idx="58">
                  <c:v>0.4838709677419355</c:v>
                </c:pt>
                <c:pt idx="59">
                  <c:v>0.4838709677419355</c:v>
                </c:pt>
                <c:pt idx="60">
                  <c:v>0.5806451612903225</c:v>
                </c:pt>
                <c:pt idx="61">
                  <c:v>0.4838709677419355</c:v>
                </c:pt>
                <c:pt idx="62">
                  <c:v>0.5806451612903225</c:v>
                </c:pt>
                <c:pt idx="63">
                  <c:v>0.5806451612903225</c:v>
                </c:pt>
                <c:pt idx="64">
                  <c:v>0.4838709677419355</c:v>
                </c:pt>
                <c:pt idx="65">
                  <c:v>0.5806451612903225</c:v>
                </c:pt>
                <c:pt idx="66">
                  <c:v>0.4838709677419355</c:v>
                </c:pt>
                <c:pt idx="67">
                  <c:v>0.4838709677419355</c:v>
                </c:pt>
                <c:pt idx="68">
                  <c:v>0.4838709677419355</c:v>
                </c:pt>
                <c:pt idx="69">
                  <c:v>0.4838709677419355</c:v>
                </c:pt>
                <c:pt idx="70">
                  <c:v>0.4838709677419355</c:v>
                </c:pt>
                <c:pt idx="71">
                  <c:v>0.6774193548387097</c:v>
                </c:pt>
                <c:pt idx="73">
                  <c:v>0.4838709677419355</c:v>
                </c:pt>
                <c:pt idx="74">
                  <c:v>0.4838709677419355</c:v>
                </c:pt>
                <c:pt idx="75">
                  <c:v>0.4838709677419355</c:v>
                </c:pt>
                <c:pt idx="76">
                  <c:v>0.5806451612903225</c:v>
                </c:pt>
                <c:pt idx="77">
                  <c:v>0.4838709677419355</c:v>
                </c:pt>
                <c:pt idx="78">
                  <c:v>0.4838709677419355</c:v>
                </c:pt>
                <c:pt idx="79">
                  <c:v>0.4838709677419355</c:v>
                </c:pt>
                <c:pt idx="80">
                  <c:v>0.4838709677419355</c:v>
                </c:pt>
                <c:pt idx="81">
                  <c:v>0.4838709677419355</c:v>
                </c:pt>
                <c:pt idx="82">
                  <c:v>1.4516129032258063</c:v>
                </c:pt>
                <c:pt idx="83">
                  <c:v>0.5806451612903225</c:v>
                </c:pt>
                <c:pt idx="84">
                  <c:v>1.064516129032258</c:v>
                </c:pt>
                <c:pt idx="85">
                  <c:v>0.7741935483870969</c:v>
                </c:pt>
                <c:pt idx="86">
                  <c:v>0.4838709677419355</c:v>
                </c:pt>
                <c:pt idx="87">
                  <c:v>0.4838709677419355</c:v>
                </c:pt>
                <c:pt idx="88">
                  <c:v>0.5806451612903225</c:v>
                </c:pt>
                <c:pt idx="90">
                  <c:v>0.4838709677419355</c:v>
                </c:pt>
              </c:numCache>
            </c:numRef>
          </c:val>
          <c:smooth val="0"/>
        </c:ser>
        <c:marker val="1"/>
        <c:axId val="44227252"/>
        <c:axId val="62500949"/>
      </c:lineChart>
      <c:dateAx>
        <c:axId val="44227252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0094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250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2725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data'!$AT$8:$AT$98</c:f>
              <c:numCache>
                <c:ptCount val="91"/>
                <c:pt idx="0">
                  <c:v>39.800000000000004</c:v>
                </c:pt>
                <c:pt idx="1">
                  <c:v>42.7125</c:v>
                </c:pt>
                <c:pt idx="2">
                  <c:v>47.95625</c:v>
                </c:pt>
                <c:pt idx="3">
                  <c:v>46.73125</c:v>
                </c:pt>
                <c:pt idx="4">
                  <c:v>47.14375</c:v>
                </c:pt>
                <c:pt idx="5">
                  <c:v>52.2375</c:v>
                </c:pt>
                <c:pt idx="6">
                  <c:v>38.9625</c:v>
                </c:pt>
                <c:pt idx="7">
                  <c:v>50.793749999999996</c:v>
                </c:pt>
                <c:pt idx="8">
                  <c:v>44.1125</c:v>
                </c:pt>
                <c:pt idx="9">
                  <c:v>46.75</c:v>
                </c:pt>
                <c:pt idx="11">
                  <c:v>38.96875</c:v>
                </c:pt>
                <c:pt idx="12">
                  <c:v>50.65</c:v>
                </c:pt>
                <c:pt idx="14">
                  <c:v>53.16875</c:v>
                </c:pt>
                <c:pt idx="15">
                  <c:v>47.09375</c:v>
                </c:pt>
                <c:pt idx="16">
                  <c:v>46.44375</c:v>
                </c:pt>
                <c:pt idx="17">
                  <c:v>50.0875</c:v>
                </c:pt>
                <c:pt idx="18">
                  <c:v>42.525</c:v>
                </c:pt>
                <c:pt idx="19">
                  <c:v>41.099999999999994</c:v>
                </c:pt>
                <c:pt idx="20">
                  <c:v>45.625</c:v>
                </c:pt>
                <c:pt idx="21">
                  <c:v>48.36875</c:v>
                </c:pt>
                <c:pt idx="22">
                  <c:v>53.55</c:v>
                </c:pt>
                <c:pt idx="23">
                  <c:v>49.175000000000004</c:v>
                </c:pt>
                <c:pt idx="25">
                  <c:v>37.574999999999996</c:v>
                </c:pt>
                <c:pt idx="26">
                  <c:v>28.3875</c:v>
                </c:pt>
                <c:pt idx="27">
                  <c:v>38.5</c:v>
                </c:pt>
                <c:pt idx="28">
                  <c:v>37.99375</c:v>
                </c:pt>
                <c:pt idx="29">
                  <c:v>43.125</c:v>
                </c:pt>
                <c:pt idx="30">
                  <c:v>43.125</c:v>
                </c:pt>
                <c:pt idx="31">
                  <c:v>38.75</c:v>
                </c:pt>
                <c:pt idx="32">
                  <c:v>56.875</c:v>
                </c:pt>
                <c:pt idx="33">
                  <c:v>48.125</c:v>
                </c:pt>
                <c:pt idx="34">
                  <c:v>38.75</c:v>
                </c:pt>
                <c:pt idx="35">
                  <c:v>43.2625</c:v>
                </c:pt>
              </c:numCache>
            </c:numRef>
          </c:val>
          <c:smooth val="0"/>
        </c:ser>
        <c:marker val="1"/>
        <c:axId val="25637630"/>
        <c:axId val="29412079"/>
      </c:lineChart>
      <c:dateAx>
        <c:axId val="2563763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207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9412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63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Si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data'!$AH$8:$AH$98</c:f>
              <c:numCache>
                <c:ptCount val="91"/>
                <c:pt idx="0">
                  <c:v>388.4285714285714</c:v>
                </c:pt>
                <c:pt idx="1">
                  <c:v>414.7142857142857</c:v>
                </c:pt>
                <c:pt idx="2">
                  <c:v>439.71428571428567</c:v>
                </c:pt>
                <c:pt idx="3">
                  <c:v>412.28571428571433</c:v>
                </c:pt>
                <c:pt idx="4">
                  <c:v>415.8571428571429</c:v>
                </c:pt>
                <c:pt idx="5">
                  <c:v>456</c:v>
                </c:pt>
                <c:pt idx="6">
                  <c:v>278.2857142857143</c:v>
                </c:pt>
                <c:pt idx="7">
                  <c:v>380.5714285714286</c:v>
                </c:pt>
                <c:pt idx="8">
                  <c:v>329.42857142857144</c:v>
                </c:pt>
                <c:pt idx="9">
                  <c:v>357.85714285714283</c:v>
                </c:pt>
                <c:pt idx="11">
                  <c:v>333.42857142857144</c:v>
                </c:pt>
                <c:pt idx="12">
                  <c:v>402</c:v>
                </c:pt>
                <c:pt idx="14">
                  <c:v>443</c:v>
                </c:pt>
                <c:pt idx="15">
                  <c:v>441.85714285714283</c:v>
                </c:pt>
                <c:pt idx="16">
                  <c:v>400.2857142857143</c:v>
                </c:pt>
                <c:pt idx="17">
                  <c:v>422.42857142857144</c:v>
                </c:pt>
                <c:pt idx="18">
                  <c:v>418.14285714285717</c:v>
                </c:pt>
                <c:pt idx="19">
                  <c:v>412.42857142857144</c:v>
                </c:pt>
                <c:pt idx="20">
                  <c:v>416.1428571428571</c:v>
                </c:pt>
                <c:pt idx="21">
                  <c:v>409.28571428571433</c:v>
                </c:pt>
                <c:pt idx="22">
                  <c:v>484.7142857142857</c:v>
                </c:pt>
                <c:pt idx="23">
                  <c:v>460</c:v>
                </c:pt>
                <c:pt idx="25">
                  <c:v>371.7142857142857</c:v>
                </c:pt>
                <c:pt idx="26">
                  <c:v>263.85714285714283</c:v>
                </c:pt>
                <c:pt idx="27">
                  <c:v>361.7142857142857</c:v>
                </c:pt>
                <c:pt idx="28">
                  <c:v>373.2857142857143</c:v>
                </c:pt>
                <c:pt idx="29">
                  <c:v>390</c:v>
                </c:pt>
                <c:pt idx="30">
                  <c:v>394.2857142857142</c:v>
                </c:pt>
                <c:pt idx="31">
                  <c:v>388.5714285714286</c:v>
                </c:pt>
                <c:pt idx="32">
                  <c:v>407.8571428571429</c:v>
                </c:pt>
                <c:pt idx="33">
                  <c:v>417.14285714285717</c:v>
                </c:pt>
                <c:pt idx="34">
                  <c:v>377.14285714285717</c:v>
                </c:pt>
                <c:pt idx="35">
                  <c:v>338.71428571428567</c:v>
                </c:pt>
                <c:pt idx="36">
                  <c:v>695.7142857142858</c:v>
                </c:pt>
                <c:pt idx="37">
                  <c:v>710</c:v>
                </c:pt>
                <c:pt idx="38">
                  <c:v>529.7142857142857</c:v>
                </c:pt>
                <c:pt idx="39">
                  <c:v>417.7142857142857</c:v>
                </c:pt>
                <c:pt idx="40">
                  <c:v>409.7142857142857</c:v>
                </c:pt>
                <c:pt idx="41">
                  <c:v>432.2857142857143</c:v>
                </c:pt>
                <c:pt idx="42">
                  <c:v>447</c:v>
                </c:pt>
                <c:pt idx="43">
                  <c:v>483.8571428571429</c:v>
                </c:pt>
                <c:pt idx="44">
                  <c:v>377.4285714285714</c:v>
                </c:pt>
                <c:pt idx="45">
                  <c:v>429.7142857142857</c:v>
                </c:pt>
                <c:pt idx="46">
                  <c:v>417</c:v>
                </c:pt>
                <c:pt idx="47">
                  <c:v>424.57142857142856</c:v>
                </c:pt>
                <c:pt idx="48">
                  <c:v>458.42857142857144</c:v>
                </c:pt>
                <c:pt idx="49">
                  <c:v>437.2857142857143</c:v>
                </c:pt>
                <c:pt idx="50">
                  <c:v>355.42857142857144</c:v>
                </c:pt>
                <c:pt idx="51">
                  <c:v>439.42857142857144</c:v>
                </c:pt>
                <c:pt idx="52">
                  <c:v>418.5714285714286</c:v>
                </c:pt>
                <c:pt idx="53">
                  <c:v>384.99999999999994</c:v>
                </c:pt>
                <c:pt idx="54">
                  <c:v>313.8571428571429</c:v>
                </c:pt>
                <c:pt idx="55">
                  <c:v>305.8571428571429</c:v>
                </c:pt>
                <c:pt idx="56">
                  <c:v>384.14285714285717</c:v>
                </c:pt>
                <c:pt idx="57">
                  <c:v>306.71428571428567</c:v>
                </c:pt>
                <c:pt idx="58">
                  <c:v>499.2857142857143</c:v>
                </c:pt>
                <c:pt idx="59">
                  <c:v>340.85714285714283</c:v>
                </c:pt>
                <c:pt idx="60">
                  <c:v>320.5714285714286</c:v>
                </c:pt>
                <c:pt idx="61">
                  <c:v>326.85714285714283</c:v>
                </c:pt>
                <c:pt idx="62">
                  <c:v>382.2857142857143</c:v>
                </c:pt>
                <c:pt idx="63">
                  <c:v>387.85714285714283</c:v>
                </c:pt>
                <c:pt idx="64">
                  <c:v>411.28571428571433</c:v>
                </c:pt>
                <c:pt idx="65">
                  <c:v>417.2857142857143</c:v>
                </c:pt>
                <c:pt idx="66">
                  <c:v>363</c:v>
                </c:pt>
                <c:pt idx="67">
                  <c:v>284.8571428571429</c:v>
                </c:pt>
                <c:pt idx="68">
                  <c:v>289.5714285714286</c:v>
                </c:pt>
                <c:pt idx="69">
                  <c:v>286.7142857142858</c:v>
                </c:pt>
                <c:pt idx="70">
                  <c:v>296.42857142857144</c:v>
                </c:pt>
                <c:pt idx="71">
                  <c:v>267.2857142857143</c:v>
                </c:pt>
                <c:pt idx="73">
                  <c:v>289.00000000000006</c:v>
                </c:pt>
                <c:pt idx="74">
                  <c:v>197.99999999999997</c:v>
                </c:pt>
                <c:pt idx="75">
                  <c:v>91.17142857142856</c:v>
                </c:pt>
                <c:pt idx="76">
                  <c:v>312.2857142857143</c:v>
                </c:pt>
                <c:pt idx="77">
                  <c:v>223.57142857142856</c:v>
                </c:pt>
                <c:pt idx="78">
                  <c:v>222.57142857142858</c:v>
                </c:pt>
                <c:pt idx="79">
                  <c:v>314.42857142857144</c:v>
                </c:pt>
                <c:pt idx="80">
                  <c:v>247.85714285714286</c:v>
                </c:pt>
                <c:pt idx="81">
                  <c:v>298.14285714285717</c:v>
                </c:pt>
                <c:pt idx="82">
                  <c:v>244.71428571428572</c:v>
                </c:pt>
                <c:pt idx="83">
                  <c:v>236.14285714285717</c:v>
                </c:pt>
                <c:pt idx="84">
                  <c:v>266</c:v>
                </c:pt>
                <c:pt idx="85">
                  <c:v>234.85714285714286</c:v>
                </c:pt>
                <c:pt idx="86">
                  <c:v>421.14285714285717</c:v>
                </c:pt>
                <c:pt idx="87">
                  <c:v>234.85714285714286</c:v>
                </c:pt>
                <c:pt idx="88">
                  <c:v>169.28571428571428</c:v>
                </c:pt>
                <c:pt idx="90">
                  <c:v>207.2857142857143</c:v>
                </c:pt>
              </c:numCache>
            </c:numRef>
          </c:val>
          <c:smooth val="0"/>
        </c:ser>
        <c:marker val="1"/>
        <c:axId val="63382120"/>
        <c:axId val="33568169"/>
      </c:lineChart>
      <c:dateAx>
        <c:axId val="6338212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816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356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8212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7"/>
          <c:w val="0.914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data'!$AP$8:$AP$98</c:f>
              <c:numCache>
                <c:ptCount val="91"/>
                <c:pt idx="0">
                  <c:v>42.6875</c:v>
                </c:pt>
                <c:pt idx="1">
                  <c:v>42.00625</c:v>
                </c:pt>
                <c:pt idx="2">
                  <c:v>48.0875</c:v>
                </c:pt>
                <c:pt idx="3">
                  <c:v>46.675000000000004</c:v>
                </c:pt>
                <c:pt idx="4">
                  <c:v>44.131249999999994</c:v>
                </c:pt>
                <c:pt idx="5">
                  <c:v>52.10625</c:v>
                </c:pt>
                <c:pt idx="6">
                  <c:v>34.3</c:v>
                </c:pt>
                <c:pt idx="7">
                  <c:v>43.456250000000004</c:v>
                </c:pt>
                <c:pt idx="8">
                  <c:v>38.73125</c:v>
                </c:pt>
                <c:pt idx="9">
                  <c:v>43.268750000000004</c:v>
                </c:pt>
                <c:pt idx="11">
                  <c:v>32.76875</c:v>
                </c:pt>
                <c:pt idx="12">
                  <c:v>44.10625</c:v>
                </c:pt>
                <c:pt idx="14">
                  <c:v>46.85</c:v>
                </c:pt>
                <c:pt idx="15">
                  <c:v>44.3375</c:v>
                </c:pt>
                <c:pt idx="16">
                  <c:v>42.418749999999996</c:v>
                </c:pt>
                <c:pt idx="17">
                  <c:v>55.724999999999994</c:v>
                </c:pt>
                <c:pt idx="18">
                  <c:v>42.55</c:v>
                </c:pt>
                <c:pt idx="19">
                  <c:v>42.14375</c:v>
                </c:pt>
                <c:pt idx="20">
                  <c:v>43.31875</c:v>
                </c:pt>
                <c:pt idx="21">
                  <c:v>41.7875</c:v>
                </c:pt>
                <c:pt idx="22">
                  <c:v>48.01875</c:v>
                </c:pt>
                <c:pt idx="23">
                  <c:v>46.05625</c:v>
                </c:pt>
                <c:pt idx="25">
                  <c:v>34.65625</c:v>
                </c:pt>
                <c:pt idx="26">
                  <c:v>31.981250000000003</c:v>
                </c:pt>
                <c:pt idx="27">
                  <c:v>39.68125</c:v>
                </c:pt>
                <c:pt idx="28">
                  <c:v>37.7793125</c:v>
                </c:pt>
                <c:pt idx="29">
                  <c:v>43.375</c:v>
                </c:pt>
                <c:pt idx="30">
                  <c:v>43.75</c:v>
                </c:pt>
                <c:pt idx="31">
                  <c:v>41</c:v>
                </c:pt>
                <c:pt idx="32">
                  <c:v>35.4375</c:v>
                </c:pt>
                <c:pt idx="33">
                  <c:v>44</c:v>
                </c:pt>
                <c:pt idx="34">
                  <c:v>39.875</c:v>
                </c:pt>
                <c:pt idx="35">
                  <c:v>40.64375</c:v>
                </c:pt>
                <c:pt idx="36">
                  <c:v>44.9375</c:v>
                </c:pt>
                <c:pt idx="37">
                  <c:v>45.125</c:v>
                </c:pt>
                <c:pt idx="38">
                  <c:v>41.19375</c:v>
                </c:pt>
                <c:pt idx="39">
                  <c:v>41.9375</c:v>
                </c:pt>
                <c:pt idx="40">
                  <c:v>39.66875</c:v>
                </c:pt>
                <c:pt idx="41">
                  <c:v>41.9875</c:v>
                </c:pt>
                <c:pt idx="42">
                  <c:v>41.5116875</c:v>
                </c:pt>
                <c:pt idx="43">
                  <c:v>44.5150625</c:v>
                </c:pt>
                <c:pt idx="44">
                  <c:v>34.93125</c:v>
                </c:pt>
                <c:pt idx="45">
                  <c:v>42.925</c:v>
                </c:pt>
                <c:pt idx="46">
                  <c:v>42.2375</c:v>
                </c:pt>
                <c:pt idx="47">
                  <c:v>40.575</c:v>
                </c:pt>
                <c:pt idx="48">
                  <c:v>41.26875</c:v>
                </c:pt>
                <c:pt idx="49">
                  <c:v>48.23125</c:v>
                </c:pt>
                <c:pt idx="50">
                  <c:v>35.3375</c:v>
                </c:pt>
                <c:pt idx="51">
                  <c:v>48.050000000000004</c:v>
                </c:pt>
                <c:pt idx="52">
                  <c:v>40.15</c:v>
                </c:pt>
                <c:pt idx="53">
                  <c:v>42.03125</c:v>
                </c:pt>
                <c:pt idx="54">
                  <c:v>40.5125</c:v>
                </c:pt>
                <c:pt idx="55">
                  <c:v>41.89375</c:v>
                </c:pt>
                <c:pt idx="56">
                  <c:v>44.1625</c:v>
                </c:pt>
                <c:pt idx="57">
                  <c:v>35.706250000000004</c:v>
                </c:pt>
                <c:pt idx="58">
                  <c:v>37.83125</c:v>
                </c:pt>
                <c:pt idx="59">
                  <c:v>36.45</c:v>
                </c:pt>
                <c:pt idx="60">
                  <c:v>38.65</c:v>
                </c:pt>
                <c:pt idx="61">
                  <c:v>35.393750000000004</c:v>
                </c:pt>
                <c:pt idx="62">
                  <c:v>4.379375</c:v>
                </c:pt>
                <c:pt idx="63">
                  <c:v>3.4324999999999997</c:v>
                </c:pt>
                <c:pt idx="64">
                  <c:v>42.1</c:v>
                </c:pt>
                <c:pt idx="65">
                  <c:v>42.675</c:v>
                </c:pt>
                <c:pt idx="66">
                  <c:v>38.5375</c:v>
                </c:pt>
                <c:pt idx="67">
                  <c:v>37.18125</c:v>
                </c:pt>
                <c:pt idx="68">
                  <c:v>42.31875</c:v>
                </c:pt>
                <c:pt idx="69">
                  <c:v>39.84375</c:v>
                </c:pt>
                <c:pt idx="70">
                  <c:v>43.5</c:v>
                </c:pt>
                <c:pt idx="71">
                  <c:v>42.4875</c:v>
                </c:pt>
                <c:pt idx="73">
                  <c:v>43.231249999999996</c:v>
                </c:pt>
                <c:pt idx="74">
                  <c:v>29.05625</c:v>
                </c:pt>
                <c:pt idx="75">
                  <c:v>12.01875</c:v>
                </c:pt>
                <c:pt idx="76">
                  <c:v>39.41875</c:v>
                </c:pt>
                <c:pt idx="77">
                  <c:v>26.83125</c:v>
                </c:pt>
                <c:pt idx="78">
                  <c:v>27.625</c:v>
                </c:pt>
                <c:pt idx="79">
                  <c:v>42.15625</c:v>
                </c:pt>
                <c:pt idx="80">
                  <c:v>32.037499999999994</c:v>
                </c:pt>
                <c:pt idx="81">
                  <c:v>40.918749999999996</c:v>
                </c:pt>
                <c:pt idx="82">
                  <c:v>40.175000000000004</c:v>
                </c:pt>
                <c:pt idx="83">
                  <c:v>39.88125</c:v>
                </c:pt>
                <c:pt idx="84">
                  <c:v>37.068749999999994</c:v>
                </c:pt>
                <c:pt idx="85">
                  <c:v>41.618750000000006</c:v>
                </c:pt>
                <c:pt idx="86">
                  <c:v>41.825</c:v>
                </c:pt>
                <c:pt idx="87">
                  <c:v>31.1875</c:v>
                </c:pt>
                <c:pt idx="88">
                  <c:v>56.918749999999996</c:v>
                </c:pt>
                <c:pt idx="90">
                  <c:v>36.381249999999994</c:v>
                </c:pt>
              </c:numCache>
            </c:numRef>
          </c:val>
          <c:smooth val="0"/>
        </c:ser>
        <c:marker val="1"/>
        <c:axId val="33678066"/>
        <c:axId val="34667139"/>
      </c:lineChart>
      <c:dateAx>
        <c:axId val="3367806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13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4667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806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Total Anions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data'!$BR$8:$BR$98</c:f>
              <c:numCache>
                <c:ptCount val="91"/>
                <c:pt idx="0">
                  <c:v>121.21607142857144</c:v>
                </c:pt>
                <c:pt idx="1">
                  <c:v>119.15196428571429</c:v>
                </c:pt>
                <c:pt idx="2">
                  <c:v>133.79535714285714</c:v>
                </c:pt>
                <c:pt idx="3">
                  <c:v>134.59285714285716</c:v>
                </c:pt>
                <c:pt idx="4">
                  <c:v>125.11124999999998</c:v>
                </c:pt>
                <c:pt idx="5">
                  <c:v>162.89910714285713</c:v>
                </c:pt>
                <c:pt idx="6">
                  <c:v>109.34285714285713</c:v>
                </c:pt>
                <c:pt idx="7">
                  <c:v>122.28696428571429</c:v>
                </c:pt>
                <c:pt idx="8">
                  <c:v>135.54553571428573</c:v>
                </c:pt>
                <c:pt idx="9">
                  <c:v>142.01017857142858</c:v>
                </c:pt>
                <c:pt idx="11">
                  <c:v>112.18303571428572</c:v>
                </c:pt>
                <c:pt idx="12">
                  <c:v>117.72625</c:v>
                </c:pt>
                <c:pt idx="14">
                  <c:v>128.94785714285715</c:v>
                </c:pt>
                <c:pt idx="15">
                  <c:v>117.29464285714286</c:v>
                </c:pt>
                <c:pt idx="16">
                  <c:v>140.94017857142856</c:v>
                </c:pt>
                <c:pt idx="17">
                  <c:v>152.9242857142857</c:v>
                </c:pt>
                <c:pt idx="18">
                  <c:v>125.56428571428572</c:v>
                </c:pt>
                <c:pt idx="19">
                  <c:v>128.14517857142857</c:v>
                </c:pt>
                <c:pt idx="20">
                  <c:v>167.44660714285715</c:v>
                </c:pt>
                <c:pt idx="21">
                  <c:v>128.69107142857143</c:v>
                </c:pt>
                <c:pt idx="22">
                  <c:v>139.32232142857143</c:v>
                </c:pt>
                <c:pt idx="23">
                  <c:v>131.57767857142858</c:v>
                </c:pt>
                <c:pt idx="25">
                  <c:v>122.44196428571428</c:v>
                </c:pt>
                <c:pt idx="26">
                  <c:v>85.18767857142856</c:v>
                </c:pt>
                <c:pt idx="27">
                  <c:v>105.09839285714285</c:v>
                </c:pt>
                <c:pt idx="28">
                  <c:v>124.92102678571428</c:v>
                </c:pt>
                <c:pt idx="29">
                  <c:v>120.07499999999999</c:v>
                </c:pt>
                <c:pt idx="30">
                  <c:v>122.2642857142857</c:v>
                </c:pt>
                <c:pt idx="31">
                  <c:v>120.12857142857143</c:v>
                </c:pt>
                <c:pt idx="32">
                  <c:v>112.4375</c:v>
                </c:pt>
                <c:pt idx="33">
                  <c:v>134.24285714285713</c:v>
                </c:pt>
                <c:pt idx="34">
                  <c:v>131.4035714285714</c:v>
                </c:pt>
                <c:pt idx="35">
                  <c:v>172.01160714285714</c:v>
                </c:pt>
                <c:pt idx="36">
                  <c:v>140.32321428571427</c:v>
                </c:pt>
                <c:pt idx="37">
                  <c:v>134.68214285714285</c:v>
                </c:pt>
                <c:pt idx="38">
                  <c:v>130.46517857142857</c:v>
                </c:pt>
                <c:pt idx="39">
                  <c:v>117.60892857142855</c:v>
                </c:pt>
                <c:pt idx="40">
                  <c:v>113.54017857142858</c:v>
                </c:pt>
                <c:pt idx="41">
                  <c:v>122.84107142857141</c:v>
                </c:pt>
                <c:pt idx="42">
                  <c:v>127.33511607142857</c:v>
                </c:pt>
                <c:pt idx="43">
                  <c:v>131.86049107142858</c:v>
                </c:pt>
                <c:pt idx="44">
                  <c:v>124.91196428571428</c:v>
                </c:pt>
                <c:pt idx="45">
                  <c:v>131.97</c:v>
                </c:pt>
                <c:pt idx="46">
                  <c:v>142.59107142857144</c:v>
                </c:pt>
                <c:pt idx="47">
                  <c:v>126.88071428571429</c:v>
                </c:pt>
                <c:pt idx="48">
                  <c:v>124.65374999999999</c:v>
                </c:pt>
                <c:pt idx="49">
                  <c:v>159.06410714285715</c:v>
                </c:pt>
                <c:pt idx="50">
                  <c:v>108.55178571428571</c:v>
                </c:pt>
                <c:pt idx="51">
                  <c:v>143.29285714285714</c:v>
                </c:pt>
                <c:pt idx="52">
                  <c:v>116.61285714285712</c:v>
                </c:pt>
                <c:pt idx="53">
                  <c:v>118.0169642857143</c:v>
                </c:pt>
                <c:pt idx="54">
                  <c:v>124.1825</c:v>
                </c:pt>
                <c:pt idx="55">
                  <c:v>130.7580357142857</c:v>
                </c:pt>
                <c:pt idx="56">
                  <c:v>140.0910714285714</c:v>
                </c:pt>
                <c:pt idx="57">
                  <c:v>136.23482142857142</c:v>
                </c:pt>
                <c:pt idx="58">
                  <c:v>136.78196428571428</c:v>
                </c:pt>
                <c:pt idx="59">
                  <c:v>111.80928571428572</c:v>
                </c:pt>
                <c:pt idx="60">
                  <c:v>129.06428571428572</c:v>
                </c:pt>
                <c:pt idx="61">
                  <c:v>113.23660714285714</c:v>
                </c:pt>
                <c:pt idx="62">
                  <c:v>17.593660714285715</c:v>
                </c:pt>
                <c:pt idx="63">
                  <c:v>16.646785714285713</c:v>
                </c:pt>
                <c:pt idx="64">
                  <c:v>126.14285714285715</c:v>
                </c:pt>
                <c:pt idx="65">
                  <c:v>121.74642857142857</c:v>
                </c:pt>
                <c:pt idx="66">
                  <c:v>119.66107142857143</c:v>
                </c:pt>
                <c:pt idx="67">
                  <c:v>122.68124999999999</c:v>
                </c:pt>
                <c:pt idx="68">
                  <c:v>130.99017857142857</c:v>
                </c:pt>
                <c:pt idx="69">
                  <c:v>112.8294642857143</c:v>
                </c:pt>
                <c:pt idx="70">
                  <c:v>128.0442857142857</c:v>
                </c:pt>
                <c:pt idx="71">
                  <c:v>127.27321428571426</c:v>
                </c:pt>
                <c:pt idx="73">
                  <c:v>146.3019642857143</c:v>
                </c:pt>
                <c:pt idx="74">
                  <c:v>90.06553571428572</c:v>
                </c:pt>
                <c:pt idx="75">
                  <c:v>41.215178571428574</c:v>
                </c:pt>
                <c:pt idx="76">
                  <c:v>120.25803571428571</c:v>
                </c:pt>
                <c:pt idx="77">
                  <c:v>80.44553571428571</c:v>
                </c:pt>
                <c:pt idx="78">
                  <c:v>90.38214285714285</c:v>
                </c:pt>
                <c:pt idx="79">
                  <c:v>126.09339285714287</c:v>
                </c:pt>
                <c:pt idx="80">
                  <c:v>95.44607142857143</c:v>
                </c:pt>
                <c:pt idx="81">
                  <c:v>113.99589285714285</c:v>
                </c:pt>
                <c:pt idx="82">
                  <c:v>119.01785714285715</c:v>
                </c:pt>
                <c:pt idx="83">
                  <c:v>114.97339285714285</c:v>
                </c:pt>
                <c:pt idx="84">
                  <c:v>115.2680357142857</c:v>
                </c:pt>
                <c:pt idx="85">
                  <c:v>131.70875</c:v>
                </c:pt>
                <c:pt idx="86">
                  <c:v>122.41999999999999</c:v>
                </c:pt>
                <c:pt idx="87">
                  <c:v>101.80392857142857</c:v>
                </c:pt>
                <c:pt idx="90">
                  <c:v>114.08196428571426</c:v>
                </c:pt>
              </c:numCache>
            </c:numRef>
          </c:val>
          <c:smooth val="0"/>
        </c:ser>
        <c:marker val="1"/>
        <c:axId val="43568796"/>
        <c:axId val="56574845"/>
      </c:lineChart>
      <c:dateAx>
        <c:axId val="4356879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484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657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79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Total Cations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data'!$BQ$8:$BQ$98</c:f>
              <c:numCache>
                <c:ptCount val="91"/>
                <c:pt idx="0">
                  <c:v>150.13155996177736</c:v>
                </c:pt>
                <c:pt idx="1">
                  <c:v>186.57533444816056</c:v>
                </c:pt>
                <c:pt idx="2">
                  <c:v>183.42522774327122</c:v>
                </c:pt>
                <c:pt idx="3">
                  <c:v>183.75195015129796</c:v>
                </c:pt>
                <c:pt idx="4">
                  <c:v>183.34565376652336</c:v>
                </c:pt>
                <c:pt idx="5">
                  <c:v>214.99781892021022</c:v>
                </c:pt>
                <c:pt idx="6">
                  <c:v>135.00613154960982</c:v>
                </c:pt>
                <c:pt idx="7">
                  <c:v>174.066331422201</c:v>
                </c:pt>
                <c:pt idx="8">
                  <c:v>175.53468147794234</c:v>
                </c:pt>
                <c:pt idx="9">
                  <c:v>201.3125298614429</c:v>
                </c:pt>
                <c:pt idx="11">
                  <c:v>177.49919095397357</c:v>
                </c:pt>
                <c:pt idx="12">
                  <c:v>179.5283166109253</c:v>
                </c:pt>
                <c:pt idx="14">
                  <c:v>187.52630434782608</c:v>
                </c:pt>
                <c:pt idx="15">
                  <c:v>186.09841216754262</c:v>
                </c:pt>
                <c:pt idx="16">
                  <c:v>177.57962016244625</c:v>
                </c:pt>
                <c:pt idx="17">
                  <c:v>198.57138716356107</c:v>
                </c:pt>
                <c:pt idx="18">
                  <c:v>173.00936375218984</c:v>
                </c:pt>
                <c:pt idx="19">
                  <c:v>183.47363911450867</c:v>
                </c:pt>
                <c:pt idx="20">
                  <c:v>170.22304825609172</c:v>
                </c:pt>
                <c:pt idx="21">
                  <c:v>183.7541463608855</c:v>
                </c:pt>
                <c:pt idx="22">
                  <c:v>196.1627026596592</c:v>
                </c:pt>
                <c:pt idx="23">
                  <c:v>185.80067924828796</c:v>
                </c:pt>
                <c:pt idx="25">
                  <c:v>170.57055661729578</c:v>
                </c:pt>
                <c:pt idx="26">
                  <c:v>144.4012788660615</c:v>
                </c:pt>
                <c:pt idx="27">
                  <c:v>147.40056219143176</c:v>
                </c:pt>
                <c:pt idx="28">
                  <c:v>168.41547300525562</c:v>
                </c:pt>
                <c:pt idx="29">
                  <c:v>176.03201146679407</c:v>
                </c:pt>
                <c:pt idx="30">
                  <c:v>162.67247969421882</c:v>
                </c:pt>
                <c:pt idx="31">
                  <c:v>178.15026278069757</c:v>
                </c:pt>
                <c:pt idx="32">
                  <c:v>189.89580745341613</c:v>
                </c:pt>
                <c:pt idx="33">
                  <c:v>182.9695811434942</c:v>
                </c:pt>
                <c:pt idx="34">
                  <c:v>164.6340181557573</c:v>
                </c:pt>
                <c:pt idx="35">
                  <c:v>221.1083213887562</c:v>
                </c:pt>
                <c:pt idx="36">
                  <c:v>203.86300366300364</c:v>
                </c:pt>
                <c:pt idx="37">
                  <c:v>246.5735666507406</c:v>
                </c:pt>
                <c:pt idx="38">
                  <c:v>249.47793358815102</c:v>
                </c:pt>
                <c:pt idx="39">
                  <c:v>201.52817964644055</c:v>
                </c:pt>
                <c:pt idx="40">
                  <c:v>201.7917757604714</c:v>
                </c:pt>
                <c:pt idx="41">
                  <c:v>199.62444736422998</c:v>
                </c:pt>
                <c:pt idx="42">
                  <c:v>202.56154323936934</c:v>
                </c:pt>
                <c:pt idx="43">
                  <c:v>221.1706872113394</c:v>
                </c:pt>
                <c:pt idx="44">
                  <c:v>213.77694218824655</c:v>
                </c:pt>
                <c:pt idx="45">
                  <c:v>165.7977193820672</c:v>
                </c:pt>
                <c:pt idx="46">
                  <c:v>168.14742952699476</c:v>
                </c:pt>
                <c:pt idx="47">
                  <c:v>175.63246297181078</c:v>
                </c:pt>
                <c:pt idx="48">
                  <c:v>177.91138158942508</c:v>
                </c:pt>
                <c:pt idx="49">
                  <c:v>167.16897356266924</c:v>
                </c:pt>
                <c:pt idx="50">
                  <c:v>132.84657111004938</c:v>
                </c:pt>
                <c:pt idx="51">
                  <c:v>210.20785156872114</c:v>
                </c:pt>
                <c:pt idx="52">
                  <c:v>193.02099697404043</c:v>
                </c:pt>
                <c:pt idx="53">
                  <c:v>267.713839783405</c:v>
                </c:pt>
                <c:pt idx="54">
                  <c:v>271.3871476349737</c:v>
                </c:pt>
                <c:pt idx="55">
                  <c:v>225.5811817168339</c:v>
                </c:pt>
                <c:pt idx="56">
                  <c:v>179.20650422041723</c:v>
                </c:pt>
                <c:pt idx="57">
                  <c:v>199.84722328396242</c:v>
                </c:pt>
                <c:pt idx="58">
                  <c:v>222.6700326485109</c:v>
                </c:pt>
                <c:pt idx="59">
                  <c:v>183.90016244624942</c:v>
                </c:pt>
                <c:pt idx="60">
                  <c:v>186.28251871317087</c:v>
                </c:pt>
                <c:pt idx="61">
                  <c:v>209.84854435419652</c:v>
                </c:pt>
                <c:pt idx="62">
                  <c:v>246.39168816690557</c:v>
                </c:pt>
                <c:pt idx="63">
                  <c:v>228.8367216117216</c:v>
                </c:pt>
                <c:pt idx="64">
                  <c:v>219.8366491479535</c:v>
                </c:pt>
                <c:pt idx="65">
                  <c:v>209.21034480012742</c:v>
                </c:pt>
                <c:pt idx="66">
                  <c:v>192.40749800923714</c:v>
                </c:pt>
                <c:pt idx="67">
                  <c:v>168.1028834209269</c:v>
                </c:pt>
                <c:pt idx="68">
                  <c:v>223.25777353081702</c:v>
                </c:pt>
                <c:pt idx="69">
                  <c:v>216.013839783405</c:v>
                </c:pt>
                <c:pt idx="70">
                  <c:v>230.57503822264692</c:v>
                </c:pt>
                <c:pt idx="71">
                  <c:v>221.61244624940275</c:v>
                </c:pt>
                <c:pt idx="73">
                  <c:v>203.16802595954772</c:v>
                </c:pt>
                <c:pt idx="74">
                  <c:v>153.83662127727345</c:v>
                </c:pt>
                <c:pt idx="75">
                  <c:v>88.9940404523013</c:v>
                </c:pt>
                <c:pt idx="76">
                  <c:v>193.26873307851568</c:v>
                </c:pt>
                <c:pt idx="77">
                  <c:v>159.38418537983753</c:v>
                </c:pt>
                <c:pt idx="78">
                  <c:v>192.65853878006052</c:v>
                </c:pt>
                <c:pt idx="79">
                  <c:v>225.55599697404045</c:v>
                </c:pt>
                <c:pt idx="80">
                  <c:v>202.50331581462018</c:v>
                </c:pt>
                <c:pt idx="81">
                  <c:v>274.6356163401815</c:v>
                </c:pt>
                <c:pt idx="82">
                  <c:v>276.8901274088231</c:v>
                </c:pt>
                <c:pt idx="83">
                  <c:v>174.1477806975633</c:v>
                </c:pt>
                <c:pt idx="84">
                  <c:v>164.04667701863355</c:v>
                </c:pt>
                <c:pt idx="85">
                  <c:v>176.95797579232362</c:v>
                </c:pt>
                <c:pt idx="86">
                  <c:v>250.74324335085205</c:v>
                </c:pt>
                <c:pt idx="87">
                  <c:v>159.9567104634496</c:v>
                </c:pt>
                <c:pt idx="90">
                  <c:v>183.58271540054147</c:v>
                </c:pt>
              </c:numCache>
            </c:numRef>
          </c:val>
          <c:smooth val="0"/>
        </c:ser>
        <c:marker val="1"/>
        <c:axId val="39411558"/>
        <c:axId val="19159703"/>
      </c:lineChart>
      <c:dateAx>
        <c:axId val="3941155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5970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9159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155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Zn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data'!$AV$8:$AV$98</c:f>
              <c:numCache>
                <c:ptCount val="91"/>
                <c:pt idx="0">
                  <c:v>0.061538461538461535</c:v>
                </c:pt>
                <c:pt idx="1">
                  <c:v>0.061538461538461535</c:v>
                </c:pt>
                <c:pt idx="2">
                  <c:v>0.061538461538461535</c:v>
                </c:pt>
                <c:pt idx="3">
                  <c:v>0.061538461538461535</c:v>
                </c:pt>
                <c:pt idx="4">
                  <c:v>0.061538461538461535</c:v>
                </c:pt>
                <c:pt idx="5">
                  <c:v>0.061538461538461535</c:v>
                </c:pt>
                <c:pt idx="6">
                  <c:v>0.061538461538461535</c:v>
                </c:pt>
                <c:pt idx="7">
                  <c:v>0.061538461538461535</c:v>
                </c:pt>
                <c:pt idx="8">
                  <c:v>0.061538461538461535</c:v>
                </c:pt>
                <c:pt idx="9">
                  <c:v>0.061538461538461535</c:v>
                </c:pt>
                <c:pt idx="11">
                  <c:v>0.061538461538461535</c:v>
                </c:pt>
                <c:pt idx="12">
                  <c:v>0.18153846153846154</c:v>
                </c:pt>
                <c:pt idx="14">
                  <c:v>0.061538461538461535</c:v>
                </c:pt>
                <c:pt idx="15">
                  <c:v>0.061538461538461535</c:v>
                </c:pt>
                <c:pt idx="16">
                  <c:v>0.061538461538461535</c:v>
                </c:pt>
                <c:pt idx="17">
                  <c:v>0.06769230769230769</c:v>
                </c:pt>
                <c:pt idx="18">
                  <c:v>0.061538461538461535</c:v>
                </c:pt>
                <c:pt idx="19">
                  <c:v>0.061538461538461535</c:v>
                </c:pt>
                <c:pt idx="20">
                  <c:v>0.061538461538461535</c:v>
                </c:pt>
                <c:pt idx="21">
                  <c:v>0.061538461538461535</c:v>
                </c:pt>
                <c:pt idx="22">
                  <c:v>0.061538461538461535</c:v>
                </c:pt>
                <c:pt idx="23">
                  <c:v>0.061538461538461535</c:v>
                </c:pt>
                <c:pt idx="25">
                  <c:v>0.061538461538461535</c:v>
                </c:pt>
                <c:pt idx="26">
                  <c:v>0.08615384615384615</c:v>
                </c:pt>
                <c:pt idx="27">
                  <c:v>0.061538461538461535</c:v>
                </c:pt>
                <c:pt idx="28">
                  <c:v>0.061538461538461535</c:v>
                </c:pt>
                <c:pt idx="29">
                  <c:v>0.061538461538461535</c:v>
                </c:pt>
                <c:pt idx="30">
                  <c:v>0.24615384615384614</c:v>
                </c:pt>
                <c:pt idx="31">
                  <c:v>0.061538461538461535</c:v>
                </c:pt>
                <c:pt idx="32">
                  <c:v>0.061538461538461535</c:v>
                </c:pt>
                <c:pt idx="33">
                  <c:v>0.061538461538461535</c:v>
                </c:pt>
                <c:pt idx="34">
                  <c:v>0.061538461538461535</c:v>
                </c:pt>
                <c:pt idx="35">
                  <c:v>0.061538461538461535</c:v>
                </c:pt>
                <c:pt idx="36">
                  <c:v>0.061538461538461535</c:v>
                </c:pt>
                <c:pt idx="37">
                  <c:v>0.092</c:v>
                </c:pt>
                <c:pt idx="38">
                  <c:v>0.061538461538461535</c:v>
                </c:pt>
                <c:pt idx="39">
                  <c:v>0.07430769230769231</c:v>
                </c:pt>
                <c:pt idx="40">
                  <c:v>0.06572307692307693</c:v>
                </c:pt>
                <c:pt idx="41">
                  <c:v>0.11667692307692308</c:v>
                </c:pt>
                <c:pt idx="42">
                  <c:v>0.0996</c:v>
                </c:pt>
                <c:pt idx="43">
                  <c:v>0.1764</c:v>
                </c:pt>
                <c:pt idx="44">
                  <c:v>0.07184615384615384</c:v>
                </c:pt>
                <c:pt idx="45">
                  <c:v>0.061538461538461535</c:v>
                </c:pt>
                <c:pt idx="46">
                  <c:v>0.061538461538461535</c:v>
                </c:pt>
                <c:pt idx="47">
                  <c:v>0.061538461538461535</c:v>
                </c:pt>
                <c:pt idx="48">
                  <c:v>0.061538461538461535</c:v>
                </c:pt>
                <c:pt idx="49">
                  <c:v>0.061538461538461535</c:v>
                </c:pt>
                <c:pt idx="50">
                  <c:v>0.061538461538461535</c:v>
                </c:pt>
                <c:pt idx="51">
                  <c:v>0.061538461538461535</c:v>
                </c:pt>
                <c:pt idx="52">
                  <c:v>0.061538461538461535</c:v>
                </c:pt>
                <c:pt idx="53">
                  <c:v>0.061538461538461535</c:v>
                </c:pt>
                <c:pt idx="54">
                  <c:v>0.1011076923076923</c:v>
                </c:pt>
                <c:pt idx="55">
                  <c:v>0.061538461538461535</c:v>
                </c:pt>
                <c:pt idx="56">
                  <c:v>0.061538461538461535</c:v>
                </c:pt>
                <c:pt idx="57">
                  <c:v>0.061538461538461535</c:v>
                </c:pt>
                <c:pt idx="58">
                  <c:v>0.061538461538461535</c:v>
                </c:pt>
                <c:pt idx="59">
                  <c:v>0.061538461538461535</c:v>
                </c:pt>
                <c:pt idx="60">
                  <c:v>0.061538461538461535</c:v>
                </c:pt>
                <c:pt idx="61">
                  <c:v>0.061538461538461535</c:v>
                </c:pt>
                <c:pt idx="62">
                  <c:v>0.061538461538461535</c:v>
                </c:pt>
                <c:pt idx="63">
                  <c:v>0.061538461538461535</c:v>
                </c:pt>
                <c:pt idx="64">
                  <c:v>0.061538461538461535</c:v>
                </c:pt>
                <c:pt idx="65">
                  <c:v>0.061538461538461535</c:v>
                </c:pt>
                <c:pt idx="66">
                  <c:v>0.061538461538461535</c:v>
                </c:pt>
                <c:pt idx="67">
                  <c:v>0.061538461538461535</c:v>
                </c:pt>
                <c:pt idx="68">
                  <c:v>0.061538461538461535</c:v>
                </c:pt>
                <c:pt idx="69">
                  <c:v>0.061538461538461535</c:v>
                </c:pt>
                <c:pt idx="70">
                  <c:v>0.061538461538461535</c:v>
                </c:pt>
                <c:pt idx="71">
                  <c:v>0.061538461538461535</c:v>
                </c:pt>
                <c:pt idx="73">
                  <c:v>0.061538461538461535</c:v>
                </c:pt>
                <c:pt idx="74">
                  <c:v>0.07175384615384614</c:v>
                </c:pt>
                <c:pt idx="75">
                  <c:v>0.07215384615384615</c:v>
                </c:pt>
                <c:pt idx="76">
                  <c:v>0.08483076923076922</c:v>
                </c:pt>
                <c:pt idx="77">
                  <c:v>0.062338461538461544</c:v>
                </c:pt>
                <c:pt idx="78">
                  <c:v>0.0640923076923077</c:v>
                </c:pt>
                <c:pt idx="79">
                  <c:v>0.07335384615384616</c:v>
                </c:pt>
                <c:pt idx="80">
                  <c:v>0.08566153846153847</c:v>
                </c:pt>
                <c:pt idx="81">
                  <c:v>0.0884923076923077</c:v>
                </c:pt>
                <c:pt idx="82">
                  <c:v>0.061538461538461535</c:v>
                </c:pt>
                <c:pt idx="83">
                  <c:v>0.061538461538461535</c:v>
                </c:pt>
                <c:pt idx="84">
                  <c:v>0.06953846153846154</c:v>
                </c:pt>
                <c:pt idx="85">
                  <c:v>0.06827692307692308</c:v>
                </c:pt>
                <c:pt idx="86">
                  <c:v>0.06990769230769231</c:v>
                </c:pt>
                <c:pt idx="87">
                  <c:v>0.061538461538461535</c:v>
                </c:pt>
                <c:pt idx="88">
                  <c:v>0.15286153846153847</c:v>
                </c:pt>
                <c:pt idx="90">
                  <c:v>0.07584615384615385</c:v>
                </c:pt>
              </c:numCache>
            </c:numRef>
          </c:val>
          <c:smooth val="0"/>
        </c:ser>
        <c:marker val="1"/>
        <c:axId val="38219600"/>
        <c:axId val="8432081"/>
      </c:lineChart>
      <c:dateAx>
        <c:axId val="3821960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208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8432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1960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Alkalinity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data'!$BT$8:$BT$98</c:f>
              <c:numCache>
                <c:ptCount val="91"/>
                <c:pt idx="0">
                  <c:v>28.201202818920223</c:v>
                </c:pt>
                <c:pt idx="1">
                  <c:v>65.77337016244627</c:v>
                </c:pt>
                <c:pt idx="2">
                  <c:v>48.91558488612836</c:v>
                </c:pt>
                <c:pt idx="3">
                  <c:v>48.44480729415508</c:v>
                </c:pt>
                <c:pt idx="4">
                  <c:v>57.51297519509478</c:v>
                </c:pt>
                <c:pt idx="5">
                  <c:v>50.62014034878166</c:v>
                </c:pt>
                <c:pt idx="6">
                  <c:v>24.563274406752697</c:v>
                </c:pt>
                <c:pt idx="7">
                  <c:v>51.065081422200976</c:v>
                </c:pt>
                <c:pt idx="8">
                  <c:v>39.274860049370886</c:v>
                </c:pt>
                <c:pt idx="9">
                  <c:v>58.58806557572859</c:v>
                </c:pt>
                <c:pt idx="11">
                  <c:v>64.60186952540215</c:v>
                </c:pt>
                <c:pt idx="12">
                  <c:v>60.852066610925306</c:v>
                </c:pt>
                <c:pt idx="14">
                  <c:v>56.978447204968944</c:v>
                </c:pt>
                <c:pt idx="15">
                  <c:v>63.068055024685464</c:v>
                </c:pt>
                <c:pt idx="16">
                  <c:v>35.925155876731964</c:v>
                </c:pt>
                <c:pt idx="17">
                  <c:v>44.932815734989646</c:v>
                </c:pt>
                <c:pt idx="18">
                  <c:v>46.73079232361843</c:v>
                </c:pt>
                <c:pt idx="19">
                  <c:v>51.614174828794376</c:v>
                </c:pt>
                <c:pt idx="20">
                  <c:v>2.0621553989488746</c:v>
                </c:pt>
                <c:pt idx="21">
                  <c:v>54.348789218028344</c:v>
                </c:pt>
                <c:pt idx="22">
                  <c:v>56.12609551680205</c:v>
                </c:pt>
                <c:pt idx="23">
                  <c:v>53.50871496257366</c:v>
                </c:pt>
                <c:pt idx="25">
                  <c:v>47.41430661729578</c:v>
                </c:pt>
                <c:pt idx="26">
                  <c:v>48.356457437490036</c:v>
                </c:pt>
                <c:pt idx="27">
                  <c:v>41.58788362000321</c:v>
                </c:pt>
                <c:pt idx="28">
                  <c:v>42.78016050525565</c:v>
                </c:pt>
                <c:pt idx="29">
                  <c:v>55.24272575250836</c:v>
                </c:pt>
                <c:pt idx="30">
                  <c:v>39.69390826564742</c:v>
                </c:pt>
                <c:pt idx="31">
                  <c:v>57.23597706641186</c:v>
                </c:pt>
                <c:pt idx="32">
                  <c:v>76.7440217391304</c:v>
                </c:pt>
                <c:pt idx="33">
                  <c:v>48.01243828635134</c:v>
                </c:pt>
                <c:pt idx="34">
                  <c:v>32.51616101290017</c:v>
                </c:pt>
                <c:pt idx="35">
                  <c:v>48.38242853161333</c:v>
                </c:pt>
                <c:pt idx="36">
                  <c:v>62.825503663003644</c:v>
                </c:pt>
                <c:pt idx="37">
                  <c:v>111.17713807931202</c:v>
                </c:pt>
                <c:pt idx="38">
                  <c:v>115.9413264452939</c:v>
                </c:pt>
                <c:pt idx="39">
                  <c:v>80.56210821786914</c:v>
                </c:pt>
                <c:pt idx="40">
                  <c:v>87.10874004618569</c:v>
                </c:pt>
                <c:pt idx="41">
                  <c:v>76.06909022137285</c:v>
                </c:pt>
                <c:pt idx="42">
                  <c:v>74.51214145365505</c:v>
                </c:pt>
                <c:pt idx="43">
                  <c:v>87.73876756848225</c:v>
                </c:pt>
                <c:pt idx="44">
                  <c:v>88.00783504538941</c:v>
                </c:pt>
                <c:pt idx="45">
                  <c:v>33.11343366778149</c:v>
                </c:pt>
                <c:pt idx="46">
                  <c:v>24.842072384137595</c:v>
                </c:pt>
                <c:pt idx="47">
                  <c:v>48.0374629718108</c:v>
                </c:pt>
                <c:pt idx="48">
                  <c:v>52.543345875139394</c:v>
                </c:pt>
                <c:pt idx="49">
                  <c:v>7.390580705526361</c:v>
                </c:pt>
                <c:pt idx="50">
                  <c:v>23.580499681477946</c:v>
                </c:pt>
                <c:pt idx="51">
                  <c:v>63.272137283006856</c:v>
                </c:pt>
                <c:pt idx="52">
                  <c:v>75.69385411689761</c:v>
                </c:pt>
                <c:pt idx="53">
                  <c:v>148.48258978340502</c:v>
                </c:pt>
                <c:pt idx="54">
                  <c:v>145.63321906354508</c:v>
                </c:pt>
                <c:pt idx="55">
                  <c:v>93.82314600254819</c:v>
                </c:pt>
                <c:pt idx="56">
                  <c:v>38.401147077560125</c:v>
                </c:pt>
                <c:pt idx="57">
                  <c:v>62.89811614110528</c:v>
                </c:pt>
                <c:pt idx="58">
                  <c:v>85.17378264851092</c:v>
                </c:pt>
                <c:pt idx="59">
                  <c:v>70.3051624462494</c:v>
                </c:pt>
                <c:pt idx="60">
                  <c:v>56.50394728459946</c:v>
                </c:pt>
                <c:pt idx="61">
                  <c:v>95.89765149705366</c:v>
                </c:pt>
                <c:pt idx="62">
                  <c:v>228.08374173833414</c:v>
                </c:pt>
                <c:pt idx="63">
                  <c:v>211.4756501831502</c:v>
                </c:pt>
                <c:pt idx="64">
                  <c:v>92.97950629081062</c:v>
                </c:pt>
                <c:pt idx="65">
                  <c:v>86.74963051441313</c:v>
                </c:pt>
                <c:pt idx="66">
                  <c:v>71.99071229495144</c:v>
                </c:pt>
                <c:pt idx="67">
                  <c:v>44.350204849498326</c:v>
                </c:pt>
                <c:pt idx="68">
                  <c:v>91.12473781653131</c:v>
                </c:pt>
                <c:pt idx="69">
                  <c:v>102.47008978340497</c:v>
                </c:pt>
                <c:pt idx="70">
                  <c:v>101.8164667940755</c:v>
                </c:pt>
                <c:pt idx="71">
                  <c:v>93.62494624940277</c:v>
                </c:pt>
                <c:pt idx="73">
                  <c:v>56.151775959547706</c:v>
                </c:pt>
                <c:pt idx="74">
                  <c:v>63.05679984870204</c:v>
                </c:pt>
                <c:pt idx="75">
                  <c:v>47.06457616658704</c:v>
                </c:pt>
                <c:pt idx="76">
                  <c:v>71.58212593565855</c:v>
                </c:pt>
                <c:pt idx="77">
                  <c:v>78.22436395126613</c:v>
                </c:pt>
                <c:pt idx="78">
                  <c:v>101.56211020863195</c:v>
                </c:pt>
                <c:pt idx="79">
                  <c:v>98.74831840261186</c:v>
                </c:pt>
                <c:pt idx="80">
                  <c:v>106.34295867176303</c:v>
                </c:pt>
                <c:pt idx="81">
                  <c:v>158.99686634018155</c:v>
                </c:pt>
                <c:pt idx="82">
                  <c:v>157.15798455168022</c:v>
                </c:pt>
                <c:pt idx="83">
                  <c:v>58.460102126134714</c:v>
                </c:pt>
                <c:pt idx="84">
                  <c:v>48.06435559006212</c:v>
                </c:pt>
                <c:pt idx="85">
                  <c:v>44.53494007803792</c:v>
                </c:pt>
                <c:pt idx="86">
                  <c:v>127.60895763656634</c:v>
                </c:pt>
                <c:pt idx="87">
                  <c:v>57.43849617773532</c:v>
                </c:pt>
                <c:pt idx="90">
                  <c:v>68.71503682911293</c:v>
                </c:pt>
              </c:numCache>
            </c:numRef>
          </c:val>
          <c:smooth val="0"/>
        </c:ser>
        <c:marker val="1"/>
        <c:axId val="64848630"/>
        <c:axId val="46766759"/>
      </c:lineChart>
      <c:dateAx>
        <c:axId val="6484863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675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676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863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data'!$AM$8:$AM$98</c:f>
              <c:numCache>
                <c:ptCount val="91"/>
                <c:pt idx="0">
                  <c:v>17.385</c:v>
                </c:pt>
                <c:pt idx="1">
                  <c:v>30.525000000000002</c:v>
                </c:pt>
                <c:pt idx="2">
                  <c:v>30.544999999999998</c:v>
                </c:pt>
                <c:pt idx="3">
                  <c:v>26.93</c:v>
                </c:pt>
                <c:pt idx="4">
                  <c:v>28.839999999999996</c:v>
                </c:pt>
                <c:pt idx="5">
                  <c:v>35.295</c:v>
                </c:pt>
                <c:pt idx="6">
                  <c:v>17.65</c:v>
                </c:pt>
                <c:pt idx="7">
                  <c:v>28.18</c:v>
                </c:pt>
                <c:pt idx="8">
                  <c:v>28.034999999999997</c:v>
                </c:pt>
                <c:pt idx="9">
                  <c:v>34.425</c:v>
                </c:pt>
                <c:pt idx="11">
                  <c:v>32.279999999999994</c:v>
                </c:pt>
                <c:pt idx="12">
                  <c:v>31.95</c:v>
                </c:pt>
                <c:pt idx="14">
                  <c:v>34.535</c:v>
                </c:pt>
                <c:pt idx="15">
                  <c:v>33.07</c:v>
                </c:pt>
                <c:pt idx="16">
                  <c:v>28.389999999999997</c:v>
                </c:pt>
                <c:pt idx="17">
                  <c:v>33.135</c:v>
                </c:pt>
                <c:pt idx="18">
                  <c:v>23.580000000000002</c:v>
                </c:pt>
                <c:pt idx="19">
                  <c:v>27.395000000000003</c:v>
                </c:pt>
                <c:pt idx="20">
                  <c:v>23.28</c:v>
                </c:pt>
                <c:pt idx="21">
                  <c:v>23.965</c:v>
                </c:pt>
                <c:pt idx="22">
                  <c:v>32.315</c:v>
                </c:pt>
                <c:pt idx="23">
                  <c:v>31.635000000000005</c:v>
                </c:pt>
                <c:pt idx="25">
                  <c:v>27.6</c:v>
                </c:pt>
                <c:pt idx="26">
                  <c:v>20.42</c:v>
                </c:pt>
                <c:pt idx="27">
                  <c:v>26.22</c:v>
                </c:pt>
                <c:pt idx="28">
                  <c:v>26.47</c:v>
                </c:pt>
                <c:pt idx="29">
                  <c:v>30</c:v>
                </c:pt>
                <c:pt idx="30">
                  <c:v>34.49999999999999</c:v>
                </c:pt>
                <c:pt idx="31">
                  <c:v>30.5</c:v>
                </c:pt>
                <c:pt idx="32">
                  <c:v>21.9</c:v>
                </c:pt>
                <c:pt idx="33">
                  <c:v>28.999999999999996</c:v>
                </c:pt>
                <c:pt idx="34">
                  <c:v>25.500000000000004</c:v>
                </c:pt>
                <c:pt idx="35">
                  <c:v>37.325</c:v>
                </c:pt>
                <c:pt idx="36">
                  <c:v>32.5</c:v>
                </c:pt>
                <c:pt idx="37">
                  <c:v>34</c:v>
                </c:pt>
                <c:pt idx="38">
                  <c:v>36.93000000000001</c:v>
                </c:pt>
                <c:pt idx="39">
                  <c:v>32.21</c:v>
                </c:pt>
                <c:pt idx="40">
                  <c:v>36.339999999999996</c:v>
                </c:pt>
                <c:pt idx="41">
                  <c:v>32.245000000000005</c:v>
                </c:pt>
                <c:pt idx="42">
                  <c:v>37.82</c:v>
                </c:pt>
                <c:pt idx="43">
                  <c:v>34.63</c:v>
                </c:pt>
                <c:pt idx="44">
                  <c:v>39.655</c:v>
                </c:pt>
                <c:pt idx="45">
                  <c:v>25.295</c:v>
                </c:pt>
                <c:pt idx="46">
                  <c:v>24.865000000000002</c:v>
                </c:pt>
                <c:pt idx="47">
                  <c:v>23.865000000000002</c:v>
                </c:pt>
                <c:pt idx="48">
                  <c:v>30.885</c:v>
                </c:pt>
                <c:pt idx="49">
                  <c:v>27.589999999999996</c:v>
                </c:pt>
                <c:pt idx="50">
                  <c:v>19.105</c:v>
                </c:pt>
                <c:pt idx="51">
                  <c:v>34.85</c:v>
                </c:pt>
                <c:pt idx="52">
                  <c:v>38.985</c:v>
                </c:pt>
                <c:pt idx="53">
                  <c:v>56.65</c:v>
                </c:pt>
                <c:pt idx="54">
                  <c:v>50.8</c:v>
                </c:pt>
                <c:pt idx="55">
                  <c:v>43.085</c:v>
                </c:pt>
                <c:pt idx="56">
                  <c:v>28.784999999999997</c:v>
                </c:pt>
                <c:pt idx="57">
                  <c:v>36.11</c:v>
                </c:pt>
                <c:pt idx="58">
                  <c:v>39.290000000000006</c:v>
                </c:pt>
                <c:pt idx="59">
                  <c:v>27.805000000000003</c:v>
                </c:pt>
                <c:pt idx="60">
                  <c:v>30.465</c:v>
                </c:pt>
                <c:pt idx="61">
                  <c:v>30.74</c:v>
                </c:pt>
                <c:pt idx="62">
                  <c:v>41.94</c:v>
                </c:pt>
                <c:pt idx="63">
                  <c:v>39.775</c:v>
                </c:pt>
                <c:pt idx="64">
                  <c:v>39.43</c:v>
                </c:pt>
                <c:pt idx="65">
                  <c:v>40.669999999999995</c:v>
                </c:pt>
                <c:pt idx="66">
                  <c:v>34.825</c:v>
                </c:pt>
                <c:pt idx="67">
                  <c:v>18.669999999999998</c:v>
                </c:pt>
                <c:pt idx="68">
                  <c:v>36.115</c:v>
                </c:pt>
                <c:pt idx="69">
                  <c:v>36.775000000000006</c:v>
                </c:pt>
                <c:pt idx="70">
                  <c:v>37.41</c:v>
                </c:pt>
                <c:pt idx="71">
                  <c:v>39.324999999999996</c:v>
                </c:pt>
                <c:pt idx="73">
                  <c:v>31.29</c:v>
                </c:pt>
                <c:pt idx="74">
                  <c:v>24.505</c:v>
                </c:pt>
                <c:pt idx="75">
                  <c:v>14.695</c:v>
                </c:pt>
                <c:pt idx="76">
                  <c:v>31.825</c:v>
                </c:pt>
                <c:pt idx="77">
                  <c:v>28.000000000000004</c:v>
                </c:pt>
                <c:pt idx="78">
                  <c:v>39.385</c:v>
                </c:pt>
                <c:pt idx="79">
                  <c:v>42.895</c:v>
                </c:pt>
                <c:pt idx="80">
                  <c:v>31.055</c:v>
                </c:pt>
                <c:pt idx="81">
                  <c:v>49.815</c:v>
                </c:pt>
                <c:pt idx="82">
                  <c:v>39.864999999999995</c:v>
                </c:pt>
                <c:pt idx="83">
                  <c:v>29.785</c:v>
                </c:pt>
                <c:pt idx="84">
                  <c:v>18.815</c:v>
                </c:pt>
                <c:pt idx="85">
                  <c:v>32.245000000000005</c:v>
                </c:pt>
                <c:pt idx="86">
                  <c:v>43.95</c:v>
                </c:pt>
                <c:pt idx="87">
                  <c:v>26.790000000000003</c:v>
                </c:pt>
                <c:pt idx="88">
                  <c:v>55.75</c:v>
                </c:pt>
                <c:pt idx="90">
                  <c:v>29.605</c:v>
                </c:pt>
              </c:numCache>
            </c:numRef>
          </c:val>
          <c:smooth val="0"/>
        </c:ser>
        <c:marker val="1"/>
        <c:axId val="18247648"/>
        <c:axId val="30011105"/>
      </c:lineChart>
      <c:dateAx>
        <c:axId val="18247648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1110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0011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764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Cation:Anion ratio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data'!$BS$8:$BS$98</c:f>
              <c:numCache>
                <c:ptCount val="91"/>
                <c:pt idx="0">
                  <c:v>1.2385450063875798</c:v>
                </c:pt>
                <c:pt idx="1">
                  <c:v>1.5658603327828646</c:v>
                </c:pt>
                <c:pt idx="2">
                  <c:v>1.3709386608043719</c:v>
                </c:pt>
                <c:pt idx="3">
                  <c:v>1.365242956067596</c:v>
                </c:pt>
                <c:pt idx="4">
                  <c:v>1.4654609698690035</c:v>
                </c:pt>
                <c:pt idx="5">
                  <c:v>1.3198219602988017</c:v>
                </c:pt>
                <c:pt idx="6">
                  <c:v>1.2347046261396248</c:v>
                </c:pt>
                <c:pt idx="7">
                  <c:v>1.4234250759182157</c:v>
                </c:pt>
                <c:pt idx="8">
                  <c:v>1.295023702204026</c:v>
                </c:pt>
                <c:pt idx="9">
                  <c:v>1.4175922591364554</c:v>
                </c:pt>
                <c:pt idx="11">
                  <c:v>1.5822284521345886</c:v>
                </c:pt>
                <c:pt idx="12">
                  <c:v>1.5249641996659649</c:v>
                </c:pt>
                <c:pt idx="14">
                  <c:v>1.4542801137057422</c:v>
                </c:pt>
                <c:pt idx="15">
                  <c:v>1.5865891880006677</c:v>
                </c:pt>
                <c:pt idx="16">
                  <c:v>1.2599644896323783</c:v>
                </c:pt>
                <c:pt idx="17">
                  <c:v>1.298494782800945</c:v>
                </c:pt>
                <c:pt idx="18">
                  <c:v>1.3778548794189986</c:v>
                </c:pt>
                <c:pt idx="19">
                  <c:v>1.4317638881141348</c:v>
                </c:pt>
                <c:pt idx="20">
                  <c:v>1.0165810532718997</c:v>
                </c:pt>
                <c:pt idx="21">
                  <c:v>1.427870203589658</c:v>
                </c:pt>
                <c:pt idx="22">
                  <c:v>1.4079775634533123</c:v>
                </c:pt>
                <c:pt idx="23">
                  <c:v>1.4120987789537855</c:v>
                </c:pt>
                <c:pt idx="25">
                  <c:v>1.3930726904974753</c:v>
                </c:pt>
                <c:pt idx="26">
                  <c:v>1.6950958317872604</c:v>
                </c:pt>
                <c:pt idx="27">
                  <c:v>1.4025006299743232</c:v>
                </c:pt>
                <c:pt idx="28">
                  <c:v>1.3481755420898869</c:v>
                </c:pt>
                <c:pt idx="29">
                  <c:v>1.4660171681598508</c:v>
                </c:pt>
                <c:pt idx="30">
                  <c:v>1.3304987531220795</c:v>
                </c:pt>
                <c:pt idx="31">
                  <c:v>1.4829965982457878</c:v>
                </c:pt>
                <c:pt idx="32">
                  <c:v>1.6889010112588427</c:v>
                </c:pt>
                <c:pt idx="33">
                  <c:v>1.3629744258853458</c:v>
                </c:pt>
                <c:pt idx="34">
                  <c:v>1.2528884593159582</c:v>
                </c:pt>
                <c:pt idx="35">
                  <c:v>1.285426751493135</c:v>
                </c:pt>
                <c:pt idx="36">
                  <c:v>1.4528102474043605</c:v>
                </c:pt>
                <c:pt idx="37">
                  <c:v>1.8307814341228652</c:v>
                </c:pt>
                <c:pt idx="38">
                  <c:v>1.9122185422952838</c:v>
                </c:pt>
                <c:pt idx="39">
                  <c:v>1.7135448991361615</c:v>
                </c:pt>
                <c:pt idx="40">
                  <c:v>1.7772719604586793</c:v>
                </c:pt>
                <c:pt idx="41">
                  <c:v>1.625062733845544</c:v>
                </c:pt>
                <c:pt idx="42">
                  <c:v>1.5907751882500547</c:v>
                </c:pt>
                <c:pt idx="43">
                  <c:v>1.6773082324676893</c:v>
                </c:pt>
                <c:pt idx="44">
                  <c:v>1.7114208667735715</c:v>
                </c:pt>
                <c:pt idx="45">
                  <c:v>1.2563288579379193</c:v>
                </c:pt>
                <c:pt idx="46">
                  <c:v>1.1792283194339088</c:v>
                </c:pt>
                <c:pt idx="47">
                  <c:v>1.3842329305958638</c:v>
                </c:pt>
                <c:pt idx="48">
                  <c:v>1.4272445200359003</c:v>
                </c:pt>
                <c:pt idx="49">
                  <c:v>1.0509534587368161</c:v>
                </c:pt>
                <c:pt idx="50">
                  <c:v>1.223808251848651</c:v>
                </c:pt>
                <c:pt idx="51">
                  <c:v>1.466980669937738</c:v>
                </c:pt>
                <c:pt idx="52">
                  <c:v>1.6552291205555418</c:v>
                </c:pt>
                <c:pt idx="53">
                  <c:v>2.2684352322034025</c:v>
                </c:pt>
                <c:pt idx="54">
                  <c:v>2.185389629255118</c:v>
                </c:pt>
                <c:pt idx="55">
                  <c:v>1.725180257446988</c:v>
                </c:pt>
                <c:pt idx="56">
                  <c:v>1.2792143167510122</c:v>
                </c:pt>
                <c:pt idx="57">
                  <c:v>1.4669320309473397</c:v>
                </c:pt>
                <c:pt idx="58">
                  <c:v>1.6279195419608907</c:v>
                </c:pt>
                <c:pt idx="59">
                  <c:v>1.6447664545159755</c:v>
                </c:pt>
                <c:pt idx="60">
                  <c:v>1.4433312645881853</c:v>
                </c:pt>
                <c:pt idx="61">
                  <c:v>1.8531864354559442</c:v>
                </c:pt>
                <c:pt idx="62">
                  <c:v>14.004571997164879</c:v>
                </c:pt>
                <c:pt idx="63">
                  <c:v>13.74660102792947</c:v>
                </c:pt>
                <c:pt idx="64">
                  <c:v>1.7427593930188838</c:v>
                </c:pt>
                <c:pt idx="65">
                  <c:v>1.718410529614705</c:v>
                </c:pt>
                <c:pt idx="66">
                  <c:v>1.60793728246107</c:v>
                </c:pt>
                <c:pt idx="67">
                  <c:v>1.3702410386340775</c:v>
                </c:pt>
                <c:pt idx="68">
                  <c:v>1.704385595665672</c:v>
                </c:pt>
                <c:pt idx="69">
                  <c:v>1.9145162227873416</c:v>
                </c:pt>
                <c:pt idx="70">
                  <c:v>1.8007444606871825</c:v>
                </c:pt>
                <c:pt idx="71">
                  <c:v>1.7412339862172992</c:v>
                </c:pt>
                <c:pt idx="73">
                  <c:v>1.3886896662766552</c:v>
                </c:pt>
                <c:pt idx="74">
                  <c:v>1.7080520318592043</c:v>
                </c:pt>
                <c:pt idx="75">
                  <c:v>2.159254030601102</c:v>
                </c:pt>
                <c:pt idx="76">
                  <c:v>1.6071169958046876</c:v>
                </c:pt>
                <c:pt idx="77">
                  <c:v>1.9812682452126888</c:v>
                </c:pt>
                <c:pt idx="78">
                  <c:v>2.1315995913548407</c:v>
                </c:pt>
                <c:pt idx="79">
                  <c:v>1.7888010772268095</c:v>
                </c:pt>
                <c:pt idx="80">
                  <c:v>2.121651659242641</c:v>
                </c:pt>
                <c:pt idx="81">
                  <c:v>2.4091711504409097</c:v>
                </c:pt>
                <c:pt idx="82">
                  <c:v>2.32645868490534</c:v>
                </c:pt>
                <c:pt idx="83">
                  <c:v>1.514678973716519</c:v>
                </c:pt>
                <c:pt idx="84">
                  <c:v>1.4231757833130358</c:v>
                </c:pt>
                <c:pt idx="85">
                  <c:v>1.3435551988180254</c:v>
                </c:pt>
                <c:pt idx="86">
                  <c:v>2.0482212330571157</c:v>
                </c:pt>
                <c:pt idx="87">
                  <c:v>1.5712233575663965</c:v>
                </c:pt>
                <c:pt idx="90">
                  <c:v>1.6092176931733488</c:v>
                </c:pt>
              </c:numCache>
            </c:numRef>
          </c:val>
          <c:smooth val="0"/>
        </c:ser>
        <c:marker val="1"/>
        <c:axId val="1664490"/>
        <c:axId val="14980411"/>
      </c:lineChart>
      <c:dateAx>
        <c:axId val="166449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8041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498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449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Cl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data'!$AQ$8:$AQ$98</c:f>
              <c:numCache>
                <c:ptCount val="91"/>
                <c:pt idx="0">
                  <c:v>76.74285714285715</c:v>
                </c:pt>
                <c:pt idx="1">
                  <c:v>74.05714285714286</c:v>
                </c:pt>
                <c:pt idx="2">
                  <c:v>79.39999999999999</c:v>
                </c:pt>
                <c:pt idx="3">
                  <c:v>84.8</c:v>
                </c:pt>
                <c:pt idx="4">
                  <c:v>77.22857142857143</c:v>
                </c:pt>
                <c:pt idx="5">
                  <c:v>102</c:v>
                </c:pt>
                <c:pt idx="6">
                  <c:v>73.25714285714285</c:v>
                </c:pt>
                <c:pt idx="7">
                  <c:v>76.34285714285714</c:v>
                </c:pt>
                <c:pt idx="8">
                  <c:v>95.02857142857144</c:v>
                </c:pt>
                <c:pt idx="9">
                  <c:v>95.45714285714287</c:v>
                </c:pt>
                <c:pt idx="11">
                  <c:v>77.62857142857143</c:v>
                </c:pt>
                <c:pt idx="12">
                  <c:v>71.8</c:v>
                </c:pt>
                <c:pt idx="14">
                  <c:v>78.05714285714286</c:v>
                </c:pt>
                <c:pt idx="15">
                  <c:v>71.17142857142858</c:v>
                </c:pt>
                <c:pt idx="16">
                  <c:v>91.14285714285714</c:v>
                </c:pt>
                <c:pt idx="17">
                  <c:v>91.42857142857143</c:v>
                </c:pt>
                <c:pt idx="18">
                  <c:v>81.22857142857143</c:v>
                </c:pt>
                <c:pt idx="19">
                  <c:v>83.05714285714286</c:v>
                </c:pt>
                <c:pt idx="20">
                  <c:v>121.65714285714286</c:v>
                </c:pt>
                <c:pt idx="21">
                  <c:v>83.97142857142858</c:v>
                </c:pt>
                <c:pt idx="22">
                  <c:v>84.65714285714286</c:v>
                </c:pt>
                <c:pt idx="23">
                  <c:v>81.6</c:v>
                </c:pt>
                <c:pt idx="25">
                  <c:v>86</c:v>
                </c:pt>
                <c:pt idx="26">
                  <c:v>51.25714285714285</c:v>
                </c:pt>
                <c:pt idx="27">
                  <c:v>63.6</c:v>
                </c:pt>
                <c:pt idx="28">
                  <c:v>85.356</c:v>
                </c:pt>
                <c:pt idx="29">
                  <c:v>74.91428571428571</c:v>
                </c:pt>
                <c:pt idx="30">
                  <c:v>76.65714285714286</c:v>
                </c:pt>
                <c:pt idx="31">
                  <c:v>77.05714285714286</c:v>
                </c:pt>
                <c:pt idx="32">
                  <c:v>75</c:v>
                </c:pt>
                <c:pt idx="33">
                  <c:v>86.60000000000001</c:v>
                </c:pt>
                <c:pt idx="34">
                  <c:v>88.88571428571429</c:v>
                </c:pt>
                <c:pt idx="35">
                  <c:v>128.17142857142858</c:v>
                </c:pt>
                <c:pt idx="36">
                  <c:v>89.17142857142856</c:v>
                </c:pt>
                <c:pt idx="37">
                  <c:v>87.77142857142857</c:v>
                </c:pt>
                <c:pt idx="38">
                  <c:v>87.48571428571428</c:v>
                </c:pt>
                <c:pt idx="39">
                  <c:v>73.88571428571427</c:v>
                </c:pt>
                <c:pt idx="40">
                  <c:v>72.08571428571429</c:v>
                </c:pt>
                <c:pt idx="41">
                  <c:v>78.94285714285714</c:v>
                </c:pt>
                <c:pt idx="42">
                  <c:v>84.03771428571429</c:v>
                </c:pt>
                <c:pt idx="43">
                  <c:v>85.55971428571429</c:v>
                </c:pt>
                <c:pt idx="44">
                  <c:v>88.17142857142856</c:v>
                </c:pt>
                <c:pt idx="45">
                  <c:v>85.94285714285714</c:v>
                </c:pt>
                <c:pt idx="46">
                  <c:v>97.6857142857143</c:v>
                </c:pt>
                <c:pt idx="47">
                  <c:v>83.2</c:v>
                </c:pt>
                <c:pt idx="48">
                  <c:v>78.85714285714285</c:v>
                </c:pt>
                <c:pt idx="49">
                  <c:v>107.91428571428571</c:v>
                </c:pt>
                <c:pt idx="50">
                  <c:v>71.42857142857143</c:v>
                </c:pt>
                <c:pt idx="51">
                  <c:v>92.42857142857143</c:v>
                </c:pt>
                <c:pt idx="52">
                  <c:v>74.45714285714284</c:v>
                </c:pt>
                <c:pt idx="53">
                  <c:v>74.2</c:v>
                </c:pt>
                <c:pt idx="54">
                  <c:v>81.02857142857142</c:v>
                </c:pt>
                <c:pt idx="55">
                  <c:v>83.14285714285714</c:v>
                </c:pt>
                <c:pt idx="56">
                  <c:v>94.14285714285714</c:v>
                </c:pt>
                <c:pt idx="57">
                  <c:v>98.74285714285715</c:v>
                </c:pt>
                <c:pt idx="58">
                  <c:v>95.08571428571429</c:v>
                </c:pt>
                <c:pt idx="59">
                  <c:v>73.34285714285716</c:v>
                </c:pt>
                <c:pt idx="60">
                  <c:v>88.62857142857143</c:v>
                </c:pt>
                <c:pt idx="61">
                  <c:v>76.05714285714285</c:v>
                </c:pt>
                <c:pt idx="62">
                  <c:v>11.428571428571429</c:v>
                </c:pt>
                <c:pt idx="63">
                  <c:v>11.428571428571429</c:v>
                </c:pt>
                <c:pt idx="64">
                  <c:v>82.25714285714287</c:v>
                </c:pt>
                <c:pt idx="65">
                  <c:v>77.28571428571429</c:v>
                </c:pt>
                <c:pt idx="66">
                  <c:v>79.28571428571428</c:v>
                </c:pt>
                <c:pt idx="67">
                  <c:v>83.71428571428571</c:v>
                </c:pt>
                <c:pt idx="68">
                  <c:v>86.88571428571429</c:v>
                </c:pt>
                <c:pt idx="69">
                  <c:v>71.2</c:v>
                </c:pt>
                <c:pt idx="70">
                  <c:v>82.02857142857142</c:v>
                </c:pt>
                <c:pt idx="71">
                  <c:v>82.99999999999999</c:v>
                </c:pt>
                <c:pt idx="73">
                  <c:v>99.57142857142857</c:v>
                </c:pt>
                <c:pt idx="74">
                  <c:v>57.48571428571429</c:v>
                </c:pt>
                <c:pt idx="75">
                  <c:v>27.357142857142858</c:v>
                </c:pt>
                <c:pt idx="76">
                  <c:v>79</c:v>
                </c:pt>
                <c:pt idx="77">
                  <c:v>51.82857142857143</c:v>
                </c:pt>
                <c:pt idx="78">
                  <c:v>60.97142857142857</c:v>
                </c:pt>
                <c:pt idx="79">
                  <c:v>81.82857142857144</c:v>
                </c:pt>
                <c:pt idx="80">
                  <c:v>61.57142857142857</c:v>
                </c:pt>
                <c:pt idx="81">
                  <c:v>71</c:v>
                </c:pt>
                <c:pt idx="82">
                  <c:v>77.05714285714286</c:v>
                </c:pt>
                <c:pt idx="83">
                  <c:v>73.25714285714285</c:v>
                </c:pt>
                <c:pt idx="84">
                  <c:v>75.6</c:v>
                </c:pt>
                <c:pt idx="85">
                  <c:v>86.4857142857143</c:v>
                </c:pt>
                <c:pt idx="86">
                  <c:v>75.05714285714285</c:v>
                </c:pt>
                <c:pt idx="87">
                  <c:v>68.37142857142857</c:v>
                </c:pt>
                <c:pt idx="88">
                  <c:v>125.14285714285714</c:v>
                </c:pt>
                <c:pt idx="90">
                  <c:v>75.62857142857142</c:v>
                </c:pt>
              </c:numCache>
            </c:numRef>
          </c:val>
          <c:smooth val="0"/>
        </c:ser>
        <c:marker val="1"/>
        <c:axId val="605972"/>
        <c:axId val="5453749"/>
      </c:lineChart>
      <c:dateAx>
        <c:axId val="605972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74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45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97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Conductivity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data'!$T$8:$T$98</c:f>
              <c:numCache>
                <c:ptCount val="91"/>
                <c:pt idx="0">
                  <c:v>20.13</c:v>
                </c:pt>
                <c:pt idx="1">
                  <c:v>22.81</c:v>
                </c:pt>
                <c:pt idx="2">
                  <c:v>23.475</c:v>
                </c:pt>
                <c:pt idx="3">
                  <c:v>23.303</c:v>
                </c:pt>
                <c:pt idx="4">
                  <c:v>23.245</c:v>
                </c:pt>
                <c:pt idx="5">
                  <c:v>26.774</c:v>
                </c:pt>
                <c:pt idx="6">
                  <c:v>19.018</c:v>
                </c:pt>
                <c:pt idx="7">
                  <c:v>22.303</c:v>
                </c:pt>
                <c:pt idx="8">
                  <c:v>23.298</c:v>
                </c:pt>
                <c:pt idx="9">
                  <c:v>25.354</c:v>
                </c:pt>
                <c:pt idx="11">
                  <c:v>22.613</c:v>
                </c:pt>
                <c:pt idx="12">
                  <c:v>23.92</c:v>
                </c:pt>
                <c:pt idx="14">
                  <c:v>24.585</c:v>
                </c:pt>
                <c:pt idx="15">
                  <c:v>24.522</c:v>
                </c:pt>
                <c:pt idx="16">
                  <c:v>23.279</c:v>
                </c:pt>
                <c:pt idx="17">
                  <c:v>25.522</c:v>
                </c:pt>
                <c:pt idx="18">
                  <c:v>22.469</c:v>
                </c:pt>
                <c:pt idx="19">
                  <c:v>23.434</c:v>
                </c:pt>
                <c:pt idx="20">
                  <c:v>22.482</c:v>
                </c:pt>
                <c:pt idx="21">
                  <c:v>22.485</c:v>
                </c:pt>
                <c:pt idx="22">
                  <c:v>24.786</c:v>
                </c:pt>
                <c:pt idx="23">
                  <c:v>24.596</c:v>
                </c:pt>
                <c:pt idx="25">
                  <c:v>21.919</c:v>
                </c:pt>
                <c:pt idx="26">
                  <c:v>15.763</c:v>
                </c:pt>
                <c:pt idx="27">
                  <c:v>19.49</c:v>
                </c:pt>
                <c:pt idx="28">
                  <c:v>20.24</c:v>
                </c:pt>
                <c:pt idx="29">
                  <c:v>23.173</c:v>
                </c:pt>
                <c:pt idx="30">
                  <c:v>22.374</c:v>
                </c:pt>
                <c:pt idx="31">
                  <c:v>22.581</c:v>
                </c:pt>
                <c:pt idx="32">
                  <c:v>20.284</c:v>
                </c:pt>
                <c:pt idx="33">
                  <c:v>22.47</c:v>
                </c:pt>
                <c:pt idx="34">
                  <c:v>21.395</c:v>
                </c:pt>
                <c:pt idx="35">
                  <c:v>27.052</c:v>
                </c:pt>
                <c:pt idx="36">
                  <c:v>22.601</c:v>
                </c:pt>
                <c:pt idx="37">
                  <c:v>23.454</c:v>
                </c:pt>
                <c:pt idx="38">
                  <c:v>24.422</c:v>
                </c:pt>
                <c:pt idx="39">
                  <c:v>22.122</c:v>
                </c:pt>
                <c:pt idx="40">
                  <c:v>21.682</c:v>
                </c:pt>
                <c:pt idx="41">
                  <c:v>22.449</c:v>
                </c:pt>
                <c:pt idx="42">
                  <c:v>22.676</c:v>
                </c:pt>
                <c:pt idx="43">
                  <c:v>23.082</c:v>
                </c:pt>
                <c:pt idx="44">
                  <c:v>21.518</c:v>
                </c:pt>
                <c:pt idx="45">
                  <c:v>22.322</c:v>
                </c:pt>
                <c:pt idx="46">
                  <c:v>21.644</c:v>
                </c:pt>
                <c:pt idx="47">
                  <c:v>21.522</c:v>
                </c:pt>
                <c:pt idx="48">
                  <c:v>22.94</c:v>
                </c:pt>
                <c:pt idx="49">
                  <c:v>22.203</c:v>
                </c:pt>
                <c:pt idx="50">
                  <c:v>18.747</c:v>
                </c:pt>
                <c:pt idx="51">
                  <c:v>23.789</c:v>
                </c:pt>
                <c:pt idx="52">
                  <c:v>22.473</c:v>
                </c:pt>
                <c:pt idx="53">
                  <c:v>22.376</c:v>
                </c:pt>
                <c:pt idx="54">
                  <c:v>22.163</c:v>
                </c:pt>
                <c:pt idx="55">
                  <c:v>21.462</c:v>
                </c:pt>
                <c:pt idx="56">
                  <c:v>21.557</c:v>
                </c:pt>
                <c:pt idx="57">
                  <c:v>23.56</c:v>
                </c:pt>
                <c:pt idx="58">
                  <c:v>24.82</c:v>
                </c:pt>
                <c:pt idx="59">
                  <c:v>20.19</c:v>
                </c:pt>
                <c:pt idx="60">
                  <c:v>20.39</c:v>
                </c:pt>
                <c:pt idx="61">
                  <c:v>19.51</c:v>
                </c:pt>
                <c:pt idx="62">
                  <c:v>22.13</c:v>
                </c:pt>
                <c:pt idx="63">
                  <c:v>22.6</c:v>
                </c:pt>
                <c:pt idx="64">
                  <c:v>22.53</c:v>
                </c:pt>
                <c:pt idx="65">
                  <c:v>22.73</c:v>
                </c:pt>
                <c:pt idx="66">
                  <c:v>21.96</c:v>
                </c:pt>
                <c:pt idx="67">
                  <c:v>19.32</c:v>
                </c:pt>
                <c:pt idx="68">
                  <c:v>23.98</c:v>
                </c:pt>
                <c:pt idx="69">
                  <c:v>23.54</c:v>
                </c:pt>
                <c:pt idx="70">
                  <c:v>23.26</c:v>
                </c:pt>
                <c:pt idx="71">
                  <c:v>23.67</c:v>
                </c:pt>
                <c:pt idx="73">
                  <c:v>21.86</c:v>
                </c:pt>
                <c:pt idx="74">
                  <c:v>16.58</c:v>
                </c:pt>
                <c:pt idx="75">
                  <c:v>10.81</c:v>
                </c:pt>
                <c:pt idx="76">
                  <c:v>21.43</c:v>
                </c:pt>
                <c:pt idx="77">
                  <c:v>16.69</c:v>
                </c:pt>
                <c:pt idx="78">
                  <c:v>19</c:v>
                </c:pt>
                <c:pt idx="79">
                  <c:v>22.99</c:v>
                </c:pt>
                <c:pt idx="80">
                  <c:v>19.55</c:v>
                </c:pt>
                <c:pt idx="81">
                  <c:v>22.62</c:v>
                </c:pt>
                <c:pt idx="82">
                  <c:v>21.24</c:v>
                </c:pt>
                <c:pt idx="83">
                  <c:v>21.67</c:v>
                </c:pt>
                <c:pt idx="84">
                  <c:v>22.43</c:v>
                </c:pt>
                <c:pt idx="85">
                  <c:v>21.91</c:v>
                </c:pt>
                <c:pt idx="86">
                  <c:v>22.28</c:v>
                </c:pt>
                <c:pt idx="87">
                  <c:v>19.58</c:v>
                </c:pt>
                <c:pt idx="88">
                  <c:v>35.13</c:v>
                </c:pt>
                <c:pt idx="90">
                  <c:v>20.01</c:v>
                </c:pt>
              </c:numCache>
            </c:numRef>
          </c:val>
          <c:smooth val="0"/>
        </c:ser>
        <c:marker val="1"/>
        <c:axId val="49083742"/>
        <c:axId val="39100495"/>
      </c:lineChart>
      <c:dateAx>
        <c:axId val="49083742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049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10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µScm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4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Cu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data'!$AU$8:$AU$98</c:f>
              <c:numCache>
                <c:ptCount val="91"/>
                <c:pt idx="0">
                  <c:v>0.06349206349206349</c:v>
                </c:pt>
                <c:pt idx="1">
                  <c:v>0.06349206349206349</c:v>
                </c:pt>
                <c:pt idx="2">
                  <c:v>0.06349206349206349</c:v>
                </c:pt>
                <c:pt idx="3">
                  <c:v>0.06349206349206349</c:v>
                </c:pt>
                <c:pt idx="4">
                  <c:v>0.06349206349206349</c:v>
                </c:pt>
                <c:pt idx="5">
                  <c:v>0.06349206349206349</c:v>
                </c:pt>
                <c:pt idx="6">
                  <c:v>0.06349206349206349</c:v>
                </c:pt>
                <c:pt idx="7">
                  <c:v>0.07936507936507936</c:v>
                </c:pt>
                <c:pt idx="8">
                  <c:v>0.07301587301587302</c:v>
                </c:pt>
                <c:pt idx="9">
                  <c:v>0.06349206349206349</c:v>
                </c:pt>
                <c:pt idx="11">
                  <c:v>0.06349206349206349</c:v>
                </c:pt>
                <c:pt idx="12">
                  <c:v>0.06349206349206349</c:v>
                </c:pt>
                <c:pt idx="14">
                  <c:v>0.06349206349206349</c:v>
                </c:pt>
                <c:pt idx="15">
                  <c:v>0.08888888888888889</c:v>
                </c:pt>
                <c:pt idx="16">
                  <c:v>0.06349206349206349</c:v>
                </c:pt>
                <c:pt idx="17">
                  <c:v>0.06666666666666665</c:v>
                </c:pt>
                <c:pt idx="18">
                  <c:v>0.06984126984126986</c:v>
                </c:pt>
                <c:pt idx="19">
                  <c:v>0.06349206349206349</c:v>
                </c:pt>
                <c:pt idx="20">
                  <c:v>0.06349206349206349</c:v>
                </c:pt>
                <c:pt idx="21">
                  <c:v>0.06349206349206349</c:v>
                </c:pt>
                <c:pt idx="22">
                  <c:v>0.06349206349206349</c:v>
                </c:pt>
                <c:pt idx="23">
                  <c:v>0.06349206349206349</c:v>
                </c:pt>
                <c:pt idx="25">
                  <c:v>0.06349206349206349</c:v>
                </c:pt>
                <c:pt idx="26">
                  <c:v>0.06349206349206349</c:v>
                </c:pt>
                <c:pt idx="27">
                  <c:v>0.06349206349206349</c:v>
                </c:pt>
                <c:pt idx="28">
                  <c:v>0.06349206349206349</c:v>
                </c:pt>
                <c:pt idx="29">
                  <c:v>0.06349206349206349</c:v>
                </c:pt>
                <c:pt idx="30">
                  <c:v>0.06349206349206349</c:v>
                </c:pt>
                <c:pt idx="31">
                  <c:v>0.06349206349206349</c:v>
                </c:pt>
                <c:pt idx="32">
                  <c:v>0.06349206349206349</c:v>
                </c:pt>
                <c:pt idx="33">
                  <c:v>0.06349206349206349</c:v>
                </c:pt>
                <c:pt idx="34">
                  <c:v>0.06349206349206349</c:v>
                </c:pt>
                <c:pt idx="35">
                  <c:v>0.06349206349206349</c:v>
                </c:pt>
                <c:pt idx="36">
                  <c:v>0.06349206349206349</c:v>
                </c:pt>
                <c:pt idx="37">
                  <c:v>0.08666666666666666</c:v>
                </c:pt>
                <c:pt idx="38">
                  <c:v>0.06349206349206349</c:v>
                </c:pt>
                <c:pt idx="39">
                  <c:v>0.06349206349206349</c:v>
                </c:pt>
                <c:pt idx="40">
                  <c:v>0.06349206349206349</c:v>
                </c:pt>
                <c:pt idx="41">
                  <c:v>0.06349206349206349</c:v>
                </c:pt>
                <c:pt idx="42">
                  <c:v>0.06349206349206349</c:v>
                </c:pt>
                <c:pt idx="43">
                  <c:v>0.06349206349206349</c:v>
                </c:pt>
                <c:pt idx="44">
                  <c:v>0.06349206349206349</c:v>
                </c:pt>
                <c:pt idx="45">
                  <c:v>0.06349206349206349</c:v>
                </c:pt>
                <c:pt idx="46">
                  <c:v>0.06349206349206349</c:v>
                </c:pt>
                <c:pt idx="47">
                  <c:v>0.06349206349206349</c:v>
                </c:pt>
                <c:pt idx="48">
                  <c:v>0.06349206349206349</c:v>
                </c:pt>
                <c:pt idx="49">
                  <c:v>0.06349206349206349</c:v>
                </c:pt>
                <c:pt idx="50">
                  <c:v>0.06349206349206349</c:v>
                </c:pt>
                <c:pt idx="51">
                  <c:v>0.06349206349206349</c:v>
                </c:pt>
                <c:pt idx="52">
                  <c:v>0.23336507936507936</c:v>
                </c:pt>
                <c:pt idx="53">
                  <c:v>0.06349206349206349</c:v>
                </c:pt>
                <c:pt idx="54">
                  <c:v>0.06349206349206349</c:v>
                </c:pt>
                <c:pt idx="55">
                  <c:v>0.06349206349206349</c:v>
                </c:pt>
                <c:pt idx="56">
                  <c:v>0.06349206349206349</c:v>
                </c:pt>
                <c:pt idx="57">
                  <c:v>0.06349206349206349</c:v>
                </c:pt>
                <c:pt idx="58">
                  <c:v>0.06349206349206349</c:v>
                </c:pt>
                <c:pt idx="59">
                  <c:v>0.06349206349206349</c:v>
                </c:pt>
                <c:pt idx="60">
                  <c:v>0.06349206349206349</c:v>
                </c:pt>
                <c:pt idx="61">
                  <c:v>0.06349206349206349</c:v>
                </c:pt>
                <c:pt idx="62">
                  <c:v>0.06349206349206349</c:v>
                </c:pt>
                <c:pt idx="63">
                  <c:v>0.06349206349206349</c:v>
                </c:pt>
                <c:pt idx="64">
                  <c:v>0.06349206349206349</c:v>
                </c:pt>
                <c:pt idx="65">
                  <c:v>0.06349206349206349</c:v>
                </c:pt>
                <c:pt idx="66">
                  <c:v>0.06349206349206349</c:v>
                </c:pt>
                <c:pt idx="67">
                  <c:v>0.06349206349206349</c:v>
                </c:pt>
                <c:pt idx="68">
                  <c:v>0.06349206349206349</c:v>
                </c:pt>
                <c:pt idx="69">
                  <c:v>0.06349206349206349</c:v>
                </c:pt>
                <c:pt idx="70">
                  <c:v>0.06349206349206349</c:v>
                </c:pt>
                <c:pt idx="71">
                  <c:v>0.06349206349206349</c:v>
                </c:pt>
                <c:pt idx="73">
                  <c:v>0.06349206349206349</c:v>
                </c:pt>
                <c:pt idx="74">
                  <c:v>0.06349206349206349</c:v>
                </c:pt>
                <c:pt idx="75">
                  <c:v>0.06349206349206349</c:v>
                </c:pt>
                <c:pt idx="76">
                  <c:v>0.06349206349206349</c:v>
                </c:pt>
                <c:pt idx="77">
                  <c:v>0.06349206349206349</c:v>
                </c:pt>
                <c:pt idx="78">
                  <c:v>0.06349206349206349</c:v>
                </c:pt>
                <c:pt idx="79">
                  <c:v>0.06996825396825396</c:v>
                </c:pt>
                <c:pt idx="80">
                  <c:v>0.06349206349206349</c:v>
                </c:pt>
                <c:pt idx="81">
                  <c:v>0.06349206349206349</c:v>
                </c:pt>
                <c:pt idx="82">
                  <c:v>0.06349206349206349</c:v>
                </c:pt>
                <c:pt idx="83">
                  <c:v>0.06349206349206349</c:v>
                </c:pt>
                <c:pt idx="84">
                  <c:v>0.06349206349206349</c:v>
                </c:pt>
                <c:pt idx="85">
                  <c:v>0.06349206349206349</c:v>
                </c:pt>
                <c:pt idx="86">
                  <c:v>0.06349206349206349</c:v>
                </c:pt>
                <c:pt idx="87">
                  <c:v>0.0720952380952381</c:v>
                </c:pt>
                <c:pt idx="88">
                  <c:v>0.06349206349206349</c:v>
                </c:pt>
                <c:pt idx="90">
                  <c:v>0.06349206349206349</c:v>
                </c:pt>
              </c:numCache>
            </c:numRef>
          </c:val>
          <c:smooth val="0"/>
        </c:ser>
        <c:marker val="1"/>
        <c:axId val="16360136"/>
        <c:axId val="13023497"/>
      </c:lineChart>
      <c:dateAx>
        <c:axId val="16360136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349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302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013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7
DOC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8725"/>
          <c:w val="0.924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7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7 data'!$Y$8:$Y$98</c:f>
              <c:numCache>
                <c:ptCount val="91"/>
                <c:pt idx="0">
                  <c:v>1.8</c:v>
                </c:pt>
                <c:pt idx="1">
                  <c:v>2.184</c:v>
                </c:pt>
                <c:pt idx="2">
                  <c:v>0.711</c:v>
                </c:pt>
                <c:pt idx="3">
                  <c:v>0.6282</c:v>
                </c:pt>
                <c:pt idx="4">
                  <c:v>0.5</c:v>
                </c:pt>
                <c:pt idx="5">
                  <c:v>0.5</c:v>
                </c:pt>
                <c:pt idx="6">
                  <c:v>0.8721</c:v>
                </c:pt>
                <c:pt idx="7">
                  <c:v>0.6162</c:v>
                </c:pt>
                <c:pt idx="8">
                  <c:v>1.697</c:v>
                </c:pt>
                <c:pt idx="9">
                  <c:v>9.817</c:v>
                </c:pt>
                <c:pt idx="11">
                  <c:v>3.574</c:v>
                </c:pt>
                <c:pt idx="12">
                  <c:v>1.039</c:v>
                </c:pt>
                <c:pt idx="14">
                  <c:v>0.7929</c:v>
                </c:pt>
                <c:pt idx="15">
                  <c:v>1.2</c:v>
                </c:pt>
                <c:pt idx="16">
                  <c:v>1.379</c:v>
                </c:pt>
                <c:pt idx="17">
                  <c:v>1.481</c:v>
                </c:pt>
                <c:pt idx="18">
                  <c:v>1.6198378276447294</c:v>
                </c:pt>
                <c:pt idx="19">
                  <c:v>1.959</c:v>
                </c:pt>
                <c:pt idx="20">
                  <c:v>1.342</c:v>
                </c:pt>
                <c:pt idx="21">
                  <c:v>0.8367</c:v>
                </c:pt>
                <c:pt idx="22">
                  <c:v>0.5</c:v>
                </c:pt>
                <c:pt idx="23">
                  <c:v>0.6806423542441262</c:v>
                </c:pt>
                <c:pt idx="25">
                  <c:v>2.082</c:v>
                </c:pt>
                <c:pt idx="26">
                  <c:v>2.208</c:v>
                </c:pt>
                <c:pt idx="27">
                  <c:v>0.742</c:v>
                </c:pt>
                <c:pt idx="28">
                  <c:v>1.893</c:v>
                </c:pt>
                <c:pt idx="29">
                  <c:v>0.6</c:v>
                </c:pt>
                <c:pt idx="30">
                  <c:v>1.8</c:v>
                </c:pt>
                <c:pt idx="31">
                  <c:v>2.9</c:v>
                </c:pt>
                <c:pt idx="32">
                  <c:v>4.7</c:v>
                </c:pt>
                <c:pt idx="33">
                  <c:v>0.7</c:v>
                </c:pt>
                <c:pt idx="34">
                  <c:v>1.3</c:v>
                </c:pt>
                <c:pt idx="35">
                  <c:v>1.641</c:v>
                </c:pt>
                <c:pt idx="36">
                  <c:v>0.9</c:v>
                </c:pt>
                <c:pt idx="37">
                  <c:v>0.8</c:v>
                </c:pt>
                <c:pt idx="38">
                  <c:v>1.555</c:v>
                </c:pt>
                <c:pt idx="39">
                  <c:v>0.8615000000000002</c:v>
                </c:pt>
                <c:pt idx="40">
                  <c:v>1.529</c:v>
                </c:pt>
                <c:pt idx="41">
                  <c:v>0.7003</c:v>
                </c:pt>
                <c:pt idx="42">
                  <c:v>0.8454</c:v>
                </c:pt>
                <c:pt idx="43">
                  <c:v>0.7467</c:v>
                </c:pt>
                <c:pt idx="44">
                  <c:v>2.442</c:v>
                </c:pt>
                <c:pt idx="45">
                  <c:v>0.7096</c:v>
                </c:pt>
                <c:pt idx="46">
                  <c:v>1.159</c:v>
                </c:pt>
                <c:pt idx="47">
                  <c:v>0.8668</c:v>
                </c:pt>
                <c:pt idx="48">
                  <c:v>0.6477</c:v>
                </c:pt>
                <c:pt idx="49">
                  <c:v>0.696</c:v>
                </c:pt>
                <c:pt idx="50">
                  <c:v>1.359</c:v>
                </c:pt>
                <c:pt idx="51">
                  <c:v>1.477</c:v>
                </c:pt>
                <c:pt idx="52">
                  <c:v>2.363</c:v>
                </c:pt>
                <c:pt idx="53">
                  <c:v>0.9585</c:v>
                </c:pt>
                <c:pt idx="54">
                  <c:v>1.367</c:v>
                </c:pt>
                <c:pt idx="55">
                  <c:v>1.108</c:v>
                </c:pt>
                <c:pt idx="56">
                  <c:v>1.238</c:v>
                </c:pt>
                <c:pt idx="57">
                  <c:v>3.464</c:v>
                </c:pt>
                <c:pt idx="58">
                  <c:v>1.782</c:v>
                </c:pt>
                <c:pt idx="59">
                  <c:v>1.354</c:v>
                </c:pt>
                <c:pt idx="60">
                  <c:v>1.526</c:v>
                </c:pt>
                <c:pt idx="61">
                  <c:v>1.179</c:v>
                </c:pt>
                <c:pt idx="62">
                  <c:v>1.486</c:v>
                </c:pt>
                <c:pt idx="63">
                  <c:v>0.6201</c:v>
                </c:pt>
                <c:pt idx="64">
                  <c:v>1.001</c:v>
                </c:pt>
                <c:pt idx="65">
                  <c:v>0.5312</c:v>
                </c:pt>
                <c:pt idx="66">
                  <c:v>1.058</c:v>
                </c:pt>
                <c:pt idx="67">
                  <c:v>1.375</c:v>
                </c:pt>
                <c:pt idx="68">
                  <c:v>0.9289</c:v>
                </c:pt>
                <c:pt idx="69">
                  <c:v>1.55</c:v>
                </c:pt>
                <c:pt idx="70">
                  <c:v>0.6317</c:v>
                </c:pt>
                <c:pt idx="71">
                  <c:v>0.8912</c:v>
                </c:pt>
                <c:pt idx="73">
                  <c:v>1.78</c:v>
                </c:pt>
                <c:pt idx="74">
                  <c:v>2.226</c:v>
                </c:pt>
                <c:pt idx="75">
                  <c:v>2.067</c:v>
                </c:pt>
                <c:pt idx="76">
                  <c:v>1.444</c:v>
                </c:pt>
                <c:pt idx="77">
                  <c:v>1.161</c:v>
                </c:pt>
                <c:pt idx="78">
                  <c:v>5.453</c:v>
                </c:pt>
                <c:pt idx="79">
                  <c:v>0.6881</c:v>
                </c:pt>
                <c:pt idx="80">
                  <c:v>3.773</c:v>
                </c:pt>
                <c:pt idx="81">
                  <c:v>1.16</c:v>
                </c:pt>
                <c:pt idx="82">
                  <c:v>0.9761</c:v>
                </c:pt>
                <c:pt idx="83">
                  <c:v>0.77</c:v>
                </c:pt>
                <c:pt idx="84">
                  <c:v>1.136</c:v>
                </c:pt>
                <c:pt idx="85">
                  <c:v>1.228</c:v>
                </c:pt>
                <c:pt idx="86">
                  <c:v>0.8798</c:v>
                </c:pt>
                <c:pt idx="87">
                  <c:v>2.869</c:v>
                </c:pt>
                <c:pt idx="88">
                  <c:v>4.302</c:v>
                </c:pt>
                <c:pt idx="90">
                  <c:v>1.254</c:v>
                </c:pt>
              </c:numCache>
            </c:numRef>
          </c:val>
          <c:smooth val="0"/>
        </c:ser>
        <c:marker val="1"/>
        <c:axId val="50102610"/>
        <c:axId val="48270307"/>
      </c:lineChart>
      <c:dateAx>
        <c:axId val="50102610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030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8270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mgl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261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12</xdr:row>
      <xdr:rowOff>47625</xdr:rowOff>
    </xdr:from>
    <xdr:to>
      <xdr:col>14</xdr:col>
      <xdr:colOff>342900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981325" y="199072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12</xdr:row>
      <xdr:rowOff>57150</xdr:rowOff>
    </xdr:from>
    <xdr:to>
      <xdr:col>14</xdr:col>
      <xdr:colOff>381000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019425" y="200025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eam%20Gauge%206%20(%20montane%20data%20onl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harcaidh%20Montane%20Project(302372)\Mharcaidh%20Montane%20Water%20Chemis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am gauge 6 data"/>
      <sheetName val="Al"/>
      <sheetName val="Alkalinity"/>
      <sheetName val="Ca"/>
      <sheetName val="Cation to Anion ratio"/>
      <sheetName val="Cl"/>
      <sheetName val="Conductivity"/>
      <sheetName val="Cu"/>
      <sheetName val="DOC"/>
      <sheetName val="Fe"/>
      <sheetName val="Inorganic N"/>
      <sheetName val="H"/>
      <sheetName val="K"/>
      <sheetName val="Mg"/>
      <sheetName val="Mn"/>
      <sheetName val="Na"/>
      <sheetName val="Na to Cl Ratio"/>
      <sheetName val="NH4-N"/>
      <sheetName val="NO3-N"/>
      <sheetName val="pH"/>
      <sheetName val="P"/>
      <sheetName val="PO4-P"/>
      <sheetName val="S"/>
      <sheetName val="Si"/>
      <sheetName val="SO4-S"/>
      <sheetName val="Total Anions"/>
      <sheetName val="Total Cations"/>
      <sheetName val="Zn"/>
    </sheetNames>
    <sheetDataSet>
      <sheetData sheetId="0">
        <row r="8">
          <cell r="A8">
            <v>38279</v>
          </cell>
          <cell r="BR8">
            <v>30.433916491479522</v>
          </cell>
        </row>
        <row r="9">
          <cell r="A9">
            <v>38295</v>
          </cell>
          <cell r="BR9">
            <v>58.52011008918619</v>
          </cell>
        </row>
        <row r="10">
          <cell r="A10">
            <v>38306</v>
          </cell>
          <cell r="BR10">
            <v>65.31764862239211</v>
          </cell>
        </row>
        <row r="11">
          <cell r="A11">
            <v>38321</v>
          </cell>
          <cell r="BR11">
            <v>45.56936514572385</v>
          </cell>
        </row>
        <row r="12">
          <cell r="A12">
            <v>38334</v>
          </cell>
          <cell r="BR12">
            <v>54.16364747571271</v>
          </cell>
        </row>
        <row r="13">
          <cell r="A13">
            <v>38349</v>
          </cell>
          <cell r="BR13">
            <v>49.09721372830069</v>
          </cell>
        </row>
        <row r="14">
          <cell r="A14">
            <v>38363</v>
          </cell>
          <cell r="BR14">
            <v>-14.491708472686739</v>
          </cell>
        </row>
        <row r="15">
          <cell r="A15">
            <v>38377</v>
          </cell>
          <cell r="BR15">
            <v>27.82994027711422</v>
          </cell>
        </row>
        <row r="16">
          <cell r="A16">
            <v>38405</v>
          </cell>
          <cell r="BR16">
            <v>32.43248526835487</v>
          </cell>
        </row>
        <row r="17">
          <cell r="A17">
            <v>38419</v>
          </cell>
          <cell r="BR17">
            <v>19.204752906513818</v>
          </cell>
        </row>
        <row r="18">
          <cell r="A18">
            <v>38433</v>
          </cell>
          <cell r="BR18">
            <v>16.673735069278536</v>
          </cell>
        </row>
        <row r="19">
          <cell r="A19">
            <v>38447</v>
          </cell>
          <cell r="BR19">
            <v>22.644203495779607</v>
          </cell>
        </row>
        <row r="20">
          <cell r="A20">
            <v>38461</v>
          </cell>
          <cell r="BR20">
            <v>33.88100991399904</v>
          </cell>
        </row>
        <row r="21">
          <cell r="A21">
            <v>38475</v>
          </cell>
          <cell r="BR21">
            <v>42.81452026596594</v>
          </cell>
        </row>
        <row r="22">
          <cell r="A22">
            <v>38489</v>
          </cell>
          <cell r="BR22">
            <v>52.669781860168825</v>
          </cell>
        </row>
        <row r="23">
          <cell r="A23">
            <v>38503</v>
          </cell>
          <cell r="BR23">
            <v>43.22812275043795</v>
          </cell>
        </row>
        <row r="24">
          <cell r="A24">
            <v>38517</v>
          </cell>
          <cell r="BR24">
            <v>54.08408237776716</v>
          </cell>
        </row>
        <row r="25">
          <cell r="A25">
            <v>38531</v>
          </cell>
          <cell r="BR25">
            <v>40.56897834050005</v>
          </cell>
        </row>
        <row r="26">
          <cell r="A26">
            <v>38545</v>
          </cell>
          <cell r="BR26">
            <v>37.823032449434606</v>
          </cell>
        </row>
        <row r="27">
          <cell r="A27">
            <v>38559</v>
          </cell>
          <cell r="BR27">
            <v>64.6730947523491</v>
          </cell>
        </row>
        <row r="28">
          <cell r="A28">
            <v>38573</v>
          </cell>
          <cell r="BR28">
            <v>59.34536161809203</v>
          </cell>
        </row>
        <row r="29">
          <cell r="A29">
            <v>38588</v>
          </cell>
          <cell r="BR29">
            <v>61.243463569039676</v>
          </cell>
        </row>
        <row r="30">
          <cell r="A30">
            <v>38601</v>
          </cell>
          <cell r="BR30">
            <v>61.94349462494027</v>
          </cell>
        </row>
        <row r="31">
          <cell r="A31">
            <v>38615</v>
          </cell>
          <cell r="BR31">
            <v>51.774201106864155</v>
          </cell>
        </row>
        <row r="32">
          <cell r="A32">
            <v>38643</v>
          </cell>
          <cell r="BR32">
            <v>45.156953734671106</v>
          </cell>
        </row>
        <row r="33">
          <cell r="A33">
            <v>38657</v>
          </cell>
          <cell r="BR33">
            <v>45.06375756489889</v>
          </cell>
        </row>
        <row r="34">
          <cell r="A34">
            <v>38670</v>
          </cell>
          <cell r="BR34">
            <v>28.25181569517443</v>
          </cell>
        </row>
        <row r="35">
          <cell r="A35">
            <v>38698</v>
          </cell>
          <cell r="BR35">
            <v>32.78282150820195</v>
          </cell>
        </row>
        <row r="36">
          <cell r="A36">
            <v>38726</v>
          </cell>
          <cell r="BR36">
            <v>42.70690356744706</v>
          </cell>
        </row>
        <row r="37">
          <cell r="A37">
            <v>38754</v>
          </cell>
          <cell r="BR37">
            <v>64.74417881032014</v>
          </cell>
        </row>
        <row r="38">
          <cell r="A38">
            <v>38810</v>
          </cell>
          <cell r="BR38">
            <v>33.10891861761431</v>
          </cell>
        </row>
        <row r="39">
          <cell r="A39">
            <v>38825</v>
          </cell>
          <cell r="BR39">
            <v>46.25484989648032</v>
          </cell>
        </row>
        <row r="40">
          <cell r="A40">
            <v>38840</v>
          </cell>
          <cell r="BR40">
            <v>46.98043518076126</v>
          </cell>
        </row>
        <row r="41">
          <cell r="A41">
            <v>38852</v>
          </cell>
          <cell r="BR41">
            <v>45.66694179009397</v>
          </cell>
        </row>
        <row r="42">
          <cell r="A42">
            <v>38866</v>
          </cell>
          <cell r="BR42">
            <v>37.49773985706324</v>
          </cell>
        </row>
        <row r="43">
          <cell r="A43">
            <v>38910</v>
          </cell>
          <cell r="BR43">
            <v>51.520650183150195</v>
          </cell>
        </row>
        <row r="44">
          <cell r="A44">
            <v>38966</v>
          </cell>
          <cell r="BR44">
            <v>62.010817805383056</v>
          </cell>
        </row>
        <row r="45">
          <cell r="A45">
            <v>38980</v>
          </cell>
          <cell r="BR45">
            <v>59.376194457716224</v>
          </cell>
        </row>
        <row r="46">
          <cell r="A46">
            <v>39022</v>
          </cell>
          <cell r="BR46">
            <v>73.25704730052558</v>
          </cell>
        </row>
        <row r="47">
          <cell r="A47">
            <v>39126</v>
          </cell>
          <cell r="BR47">
            <v>32.10392976588628</v>
          </cell>
        </row>
        <row r="48">
          <cell r="A48">
            <v>39140</v>
          </cell>
          <cell r="BR48">
            <v>31.608848940914157</v>
          </cell>
        </row>
        <row r="49">
          <cell r="A49">
            <v>39168</v>
          </cell>
          <cell r="BR49">
            <v>63.813139233954445</v>
          </cell>
        </row>
        <row r="50">
          <cell r="A50">
            <v>39182</v>
          </cell>
          <cell r="BR50">
            <v>77.18786231884059</v>
          </cell>
        </row>
        <row r="51">
          <cell r="A51">
            <v>39195</v>
          </cell>
          <cell r="BR51">
            <v>125.23762939958598</v>
          </cell>
        </row>
        <row r="52">
          <cell r="A52">
            <v>39223</v>
          </cell>
          <cell r="BR52">
            <v>87.57513636725594</v>
          </cell>
        </row>
        <row r="53">
          <cell r="A53">
            <v>39251</v>
          </cell>
          <cell r="BR53">
            <v>79.83452739289694</v>
          </cell>
        </row>
        <row r="54">
          <cell r="A54">
            <v>39293</v>
          </cell>
          <cell r="BR54">
            <v>96.61168418537987</v>
          </cell>
        </row>
        <row r="55">
          <cell r="A55">
            <v>39328</v>
          </cell>
          <cell r="BR55">
            <v>78.43289277751231</v>
          </cell>
        </row>
        <row r="56">
          <cell r="A56">
            <v>39348</v>
          </cell>
          <cell r="BR56">
            <v>96.49126695134575</v>
          </cell>
        </row>
        <row r="57">
          <cell r="A57">
            <v>39364</v>
          </cell>
          <cell r="BR57">
            <v>100.70406987577638</v>
          </cell>
        </row>
        <row r="58">
          <cell r="A58">
            <v>39428</v>
          </cell>
          <cell r="BR58">
            <v>73.43880255613952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th October'04"/>
      <sheetName val="16th November'04"/>
      <sheetName val="14th December'04"/>
      <sheetName val="25th January'05"/>
      <sheetName val="8th Feb'05"/>
      <sheetName val="8th March'05"/>
      <sheetName val="22nd March'05"/>
      <sheetName val="5th April'05"/>
      <sheetName val="19th April'05"/>
      <sheetName val="5th May'05"/>
      <sheetName val="17th May'05"/>
      <sheetName val="30th May'05"/>
      <sheetName val="27th June'05"/>
      <sheetName val="7th July'05"/>
      <sheetName val="26th July'05"/>
      <sheetName val="23rd Aug'05"/>
      <sheetName val="6th Sept'05"/>
      <sheetName val="20th Sept'05"/>
      <sheetName val="18th Oct'05"/>
      <sheetName val="1st Nov'05"/>
      <sheetName val="15th Nov'05"/>
      <sheetName val="13th Dec'05"/>
      <sheetName val="10th Jan'06"/>
      <sheetName val="7th Feb'06"/>
      <sheetName val="3rd April'06"/>
      <sheetName val="19th April'06"/>
      <sheetName val="4th May'06"/>
      <sheetName val="16th May'06"/>
      <sheetName val="30th May'06"/>
      <sheetName val="12th July'06"/>
      <sheetName val="5th Sept'06"/>
      <sheetName val="20th Sept'06"/>
      <sheetName val="31st Oct'06"/>
      <sheetName val="13th Feb'07"/>
      <sheetName val="27th Feb'07"/>
      <sheetName val="27th March'07"/>
      <sheetName val="10th April'07"/>
      <sheetName val="24th April'07"/>
      <sheetName val="22nd May'07"/>
      <sheetName val="19th June'07"/>
      <sheetName val="30th July'07"/>
      <sheetName val="4th Sept'07"/>
      <sheetName val="25th Sept'07"/>
      <sheetName val="9th Oct'07"/>
      <sheetName val="12th Dec'07"/>
      <sheetName val="19th Feb'08"/>
      <sheetName val="4th March'08"/>
      <sheetName val="18th March'08"/>
      <sheetName val="28th March'08"/>
      <sheetName val="15th April'08"/>
      <sheetName val="7th May'08"/>
      <sheetName val="2nd June'08"/>
      <sheetName val="8th July'08"/>
      <sheetName val="2nd Sept'08"/>
      <sheetName val="16th Sept'08"/>
      <sheetName val="30th Sept'08"/>
      <sheetName val="14thOct'08"/>
      <sheetName val="5thNov'08"/>
      <sheetName val="27thJan'09"/>
      <sheetName val="3rdMarch'09"/>
      <sheetName val="27th March'09"/>
      <sheetName val="7th April'09"/>
      <sheetName val="22ndApril'09"/>
      <sheetName val="5thMay'09"/>
      <sheetName val="19thMay'09 to 11thNov'09"/>
      <sheetName val="17th Feb to 14thDec'10"/>
      <sheetName val="12thJan'11 to 29thMar'11"/>
      <sheetName val="RG2&amp;5&amp;FG2&amp;5andSnowsummary"/>
      <sheetName val="Organic summary data"/>
      <sheetName val="Mineral summary data"/>
      <sheetName val="Org&amp;Mineral meaned data &amp;charts"/>
      <sheetName val="Detection Limits"/>
      <sheetName val="Spring(Allt Geal-Charn)"/>
      <sheetName val="comparison of Total N"/>
      <sheetName val="Codes"/>
      <sheetName val="25th Jan comparison pH's"/>
      <sheetName val="Sheet1"/>
      <sheetName val="setup"/>
      <sheetName val="RG&amp;FG2&amp;5and Snowsummary"/>
    </sheetNames>
    <sheetDataSet>
      <sheetData sheetId="77">
        <row r="13">
          <cell r="B13">
            <v>0.0006</v>
          </cell>
        </row>
        <row r="14">
          <cell r="B14">
            <v>0.05721715256108241</v>
          </cell>
        </row>
        <row r="15">
          <cell r="B15">
            <v>3.453952113153364E-07</v>
          </cell>
        </row>
        <row r="19">
          <cell r="D19">
            <v>100000000</v>
          </cell>
        </row>
        <row r="20">
          <cell r="D20">
            <v>3.2257691829276077E-06</v>
          </cell>
        </row>
        <row r="21">
          <cell r="D21">
            <v>8.772099694434585E-12</v>
          </cell>
        </row>
        <row r="22">
          <cell r="D22">
            <v>830.6478373615398</v>
          </cell>
        </row>
        <row r="26">
          <cell r="C26">
            <v>0.0009120108393559087</v>
          </cell>
        </row>
        <row r="27">
          <cell r="C27">
            <v>3.090295432513586E-05</v>
          </cell>
        </row>
        <row r="28">
          <cell r="C28">
            <v>3.467368504525315E-07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01"/>
  <sheetViews>
    <sheetView zoomScalePageLayoutView="0" workbookViewId="0" topLeftCell="A1">
      <pane ySplit="1950" topLeftCell="A74" activePane="bottomLeft" state="split"/>
      <selection pane="topLeft" activeCell="M7" sqref="M7"/>
      <selection pane="bottomLeft" activeCell="BN106" sqref="BN106"/>
    </sheetView>
  </sheetViews>
  <sheetFormatPr defaultColWidth="9.140625" defaultRowHeight="12.75"/>
  <cols>
    <col min="1" max="1" width="11.7109375" style="0" bestFit="1" customWidth="1"/>
    <col min="2" max="2" width="11.28125" style="0" customWidth="1"/>
    <col min="3" max="3" width="10.28125" style="0" customWidth="1"/>
    <col min="5" max="6" width="9.28125" style="2" bestFit="1" customWidth="1"/>
    <col min="7" max="25" width="9.28125" style="0" bestFit="1" customWidth="1"/>
    <col min="26" max="26" width="15.28125" style="0" bestFit="1" customWidth="1"/>
    <col min="27" max="27" width="11.00390625" style="0" bestFit="1" customWidth="1"/>
    <col min="29" max="29" width="17.57421875" style="0" bestFit="1" customWidth="1"/>
    <col min="44" max="44" width="12.57421875" style="0" bestFit="1" customWidth="1"/>
    <col min="49" max="49" width="15.140625" style="0" bestFit="1" customWidth="1"/>
    <col min="50" max="50" width="11.00390625" style="0" bestFit="1" customWidth="1"/>
    <col min="51" max="51" width="17.57421875" style="0" bestFit="1" customWidth="1"/>
    <col min="52" max="52" width="21.140625" style="0" bestFit="1" customWidth="1"/>
    <col min="53" max="53" width="11.7109375" style="0" bestFit="1" customWidth="1"/>
    <col min="55" max="55" width="14.421875" style="0" customWidth="1"/>
    <col min="56" max="56" width="12.421875" style="0" customWidth="1"/>
    <col min="58" max="58" width="10.7109375" style="0" customWidth="1"/>
    <col min="69" max="69" width="12.8515625" style="0" bestFit="1" customWidth="1"/>
    <col min="70" max="70" width="12.28125" style="0" bestFit="1" customWidth="1"/>
  </cols>
  <sheetData>
    <row r="1" spans="1:153" ht="15.75">
      <c r="A1" s="1" t="s">
        <v>0</v>
      </c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7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F1" s="8"/>
      <c r="BC1" s="9"/>
      <c r="BE1" s="10"/>
      <c r="BG1" s="11"/>
      <c r="BP1" s="12"/>
      <c r="BR1" s="11"/>
      <c r="BS1" s="11"/>
      <c r="BT1" s="11"/>
      <c r="BU1" s="11"/>
      <c r="BV1" s="11"/>
      <c r="BW1" s="11"/>
      <c r="BX1" s="11"/>
      <c r="BY1" s="11"/>
      <c r="BZ1" s="11"/>
      <c r="CA1" s="13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1" ht="15">
      <c r="A2" s="55" t="s">
        <v>61</v>
      </c>
      <c r="B2" s="2"/>
      <c r="C2" s="3"/>
      <c r="D2" s="3"/>
      <c r="F2" s="80"/>
      <c r="G2" s="4"/>
      <c r="H2" s="5"/>
      <c r="I2" s="5"/>
      <c r="J2" s="14"/>
      <c r="K2" s="4"/>
      <c r="L2" s="6"/>
      <c r="M2" s="15" t="s">
        <v>2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D2" s="8"/>
      <c r="BP2" s="11"/>
      <c r="BQ2" s="11"/>
      <c r="BR2" s="11"/>
      <c r="BS2" s="11"/>
      <c r="BT2" s="11"/>
      <c r="BU2" s="11"/>
      <c r="BV2" s="11"/>
      <c r="BW2" s="11"/>
      <c r="BX2" s="11"/>
      <c r="BY2" s="13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ht="12.75">
      <c r="A3" s="19"/>
      <c r="B3" s="20"/>
      <c r="C3" s="21"/>
      <c r="D3" s="22"/>
      <c r="E3" s="22"/>
      <c r="F3" s="22"/>
      <c r="H3" s="23"/>
      <c r="I3" s="25"/>
      <c r="J3" s="25"/>
      <c r="K3" s="25"/>
      <c r="L3" s="23"/>
      <c r="M3" s="24"/>
      <c r="N3" s="23"/>
      <c r="O3" s="23"/>
      <c r="P3" s="25"/>
      <c r="Q3" s="25"/>
      <c r="R3" s="25"/>
      <c r="S3" s="25"/>
      <c r="T3" s="25"/>
      <c r="U3" s="23"/>
      <c r="V3" s="23"/>
      <c r="W3" s="23"/>
      <c r="X3" s="23"/>
      <c r="Y3" s="25"/>
      <c r="Z3" s="25"/>
      <c r="AA3" s="23"/>
      <c r="AB3" s="23"/>
      <c r="AC3" s="26"/>
      <c r="AD3" s="27"/>
      <c r="AE3" s="27"/>
      <c r="AF3" s="27"/>
      <c r="AG3" s="27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4"/>
      <c r="BD3" s="4"/>
      <c r="BE3" s="58" t="s">
        <v>47</v>
      </c>
      <c r="BF3" s="61" t="s">
        <v>48</v>
      </c>
      <c r="BG3" s="62"/>
      <c r="BH3" s="63"/>
      <c r="BI3" s="64"/>
      <c r="BJ3" s="64"/>
      <c r="BK3" s="58" t="s">
        <v>47</v>
      </c>
      <c r="BL3" s="16"/>
      <c r="BM3" s="65" t="s">
        <v>48</v>
      </c>
      <c r="BN3" s="65"/>
      <c r="BO3" s="28" t="s">
        <v>49</v>
      </c>
      <c r="BP3" s="18"/>
      <c r="BQ3" s="18"/>
      <c r="BR3" s="18"/>
      <c r="BS3" s="18"/>
      <c r="BT3" s="18"/>
      <c r="BU3" s="18"/>
      <c r="BV3" s="18"/>
      <c r="BW3" s="18"/>
      <c r="BX3" s="18"/>
      <c r="BY3" s="13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</row>
    <row r="4" spans="1:151" s="26" customFormat="1" ht="15.75">
      <c r="A4" s="11" t="s">
        <v>3</v>
      </c>
      <c r="B4" s="11" t="s">
        <v>4</v>
      </c>
      <c r="C4" s="29" t="s">
        <v>5</v>
      </c>
      <c r="D4" s="29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30" t="s">
        <v>18</v>
      </c>
      <c r="Q4" s="30" t="s">
        <v>19</v>
      </c>
      <c r="R4" s="30" t="s">
        <v>20</v>
      </c>
      <c r="S4" s="30" t="s">
        <v>21</v>
      </c>
      <c r="T4" s="11" t="s">
        <v>22</v>
      </c>
      <c r="U4" s="30" t="s">
        <v>23</v>
      </c>
      <c r="V4" s="11" t="s">
        <v>24</v>
      </c>
      <c r="W4" s="30" t="s">
        <v>25</v>
      </c>
      <c r="X4" s="30" t="s">
        <v>26</v>
      </c>
      <c r="Y4" s="32" t="s">
        <v>27</v>
      </c>
      <c r="Z4" s="33" t="s">
        <v>28</v>
      </c>
      <c r="AA4" s="58" t="s">
        <v>29</v>
      </c>
      <c r="AB4" s="34"/>
      <c r="AC4" s="33" t="s">
        <v>30</v>
      </c>
      <c r="AD4" s="85" t="s">
        <v>62</v>
      </c>
      <c r="AE4" s="11" t="s">
        <v>7</v>
      </c>
      <c r="AF4" s="11" t="s">
        <v>8</v>
      </c>
      <c r="AG4" s="11" t="s">
        <v>9</v>
      </c>
      <c r="AH4" s="11" t="s">
        <v>10</v>
      </c>
      <c r="AI4" s="35" t="s">
        <v>31</v>
      </c>
      <c r="AJ4" s="35" t="s">
        <v>32</v>
      </c>
      <c r="AK4" s="35" t="s">
        <v>33</v>
      </c>
      <c r="AL4" s="35" t="s">
        <v>14</v>
      </c>
      <c r="AM4" s="35" t="s">
        <v>15</v>
      </c>
      <c r="AN4" s="35" t="s">
        <v>16</v>
      </c>
      <c r="AO4" s="35" t="s">
        <v>17</v>
      </c>
      <c r="AP4" s="35" t="s">
        <v>34</v>
      </c>
      <c r="AQ4" s="35" t="s">
        <v>19</v>
      </c>
      <c r="AR4" s="30" t="s">
        <v>35</v>
      </c>
      <c r="AS4" s="11" t="s">
        <v>23</v>
      </c>
      <c r="AT4" s="11" t="s">
        <v>24</v>
      </c>
      <c r="AU4" s="11" t="s">
        <v>25</v>
      </c>
      <c r="AV4" s="11" t="s">
        <v>26</v>
      </c>
      <c r="AW4" s="31" t="s">
        <v>28</v>
      </c>
      <c r="AX4" s="31" t="s">
        <v>29</v>
      </c>
      <c r="AY4" s="33" t="s">
        <v>30</v>
      </c>
      <c r="AZ4" s="33" t="s">
        <v>36</v>
      </c>
      <c r="BA4" s="11" t="s">
        <v>37</v>
      </c>
      <c r="BB4" s="11"/>
      <c r="BC4" s="30" t="s">
        <v>50</v>
      </c>
      <c r="BD4" s="30" t="s">
        <v>51</v>
      </c>
      <c r="BE4" s="30" t="s">
        <v>52</v>
      </c>
      <c r="BF4" s="30" t="s">
        <v>53</v>
      </c>
      <c r="BG4" s="58" t="s">
        <v>54</v>
      </c>
      <c r="BH4" s="58" t="s">
        <v>55</v>
      </c>
      <c r="BI4" s="66" t="s">
        <v>56</v>
      </c>
      <c r="BJ4" s="66" t="s">
        <v>57</v>
      </c>
      <c r="BK4" s="58" t="s">
        <v>52</v>
      </c>
      <c r="BL4" s="16"/>
      <c r="BM4" s="67" t="s">
        <v>58</v>
      </c>
      <c r="BN4" s="67" t="s">
        <v>59</v>
      </c>
      <c r="BO4" s="28" t="s">
        <v>60</v>
      </c>
      <c r="BP4" s="36"/>
      <c r="BQ4" s="112" t="s">
        <v>64</v>
      </c>
      <c r="BR4" s="112" t="s">
        <v>65</v>
      </c>
      <c r="BS4" s="113" t="s">
        <v>66</v>
      </c>
      <c r="BT4" s="114" t="s">
        <v>67</v>
      </c>
      <c r="BU4" s="114" t="s">
        <v>68</v>
      </c>
      <c r="BV4" s="36"/>
      <c r="BW4" s="36"/>
      <c r="BX4" s="36"/>
      <c r="BY4" s="13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</row>
    <row r="5" spans="3:151" s="11" customFormat="1" ht="14.25">
      <c r="C5" s="29"/>
      <c r="D5" s="29" t="s">
        <v>38</v>
      </c>
      <c r="E5" s="30" t="s">
        <v>39</v>
      </c>
      <c r="F5" s="30" t="s">
        <v>39</v>
      </c>
      <c r="G5" s="30" t="s">
        <v>40</v>
      </c>
      <c r="H5" s="30" t="s">
        <v>40</v>
      </c>
      <c r="I5" s="30" t="s">
        <v>40</v>
      </c>
      <c r="J5" s="30" t="s">
        <v>40</v>
      </c>
      <c r="K5" s="30" t="s">
        <v>40</v>
      </c>
      <c r="L5" s="30" t="s">
        <v>40</v>
      </c>
      <c r="M5" s="30" t="s">
        <v>40</v>
      </c>
      <c r="N5" s="30" t="s">
        <v>40</v>
      </c>
      <c r="O5" s="30" t="s">
        <v>40</v>
      </c>
      <c r="P5" s="30" t="s">
        <v>40</v>
      </c>
      <c r="Q5" s="30" t="s">
        <v>40</v>
      </c>
      <c r="R5" s="30"/>
      <c r="S5" s="37" t="s">
        <v>41</v>
      </c>
      <c r="T5" s="30" t="s">
        <v>42</v>
      </c>
      <c r="U5" s="30" t="s">
        <v>40</v>
      </c>
      <c r="V5" s="30" t="s">
        <v>40</v>
      </c>
      <c r="W5" s="30" t="s">
        <v>40</v>
      </c>
      <c r="X5" s="30" t="s">
        <v>40</v>
      </c>
      <c r="Y5" s="30" t="s">
        <v>40</v>
      </c>
      <c r="Z5" s="30" t="s">
        <v>40</v>
      </c>
      <c r="AA5" s="35" t="s">
        <v>40</v>
      </c>
      <c r="AB5" s="38"/>
      <c r="AC5" s="11" t="s">
        <v>40</v>
      </c>
      <c r="AE5" s="11" t="s">
        <v>43</v>
      </c>
      <c r="AF5" s="11" t="s">
        <v>43</v>
      </c>
      <c r="AG5" s="11" t="s">
        <v>44</v>
      </c>
      <c r="AH5" s="11" t="s">
        <v>44</v>
      </c>
      <c r="AI5" s="11" t="s">
        <v>44</v>
      </c>
      <c r="AJ5" s="11" t="s">
        <v>44</v>
      </c>
      <c r="AK5" s="11" t="s">
        <v>44</v>
      </c>
      <c r="AL5" s="11" t="s">
        <v>44</v>
      </c>
      <c r="AM5" s="11" t="s">
        <v>44</v>
      </c>
      <c r="AN5" s="11" t="s">
        <v>44</v>
      </c>
      <c r="AO5" s="11" t="s">
        <v>44</v>
      </c>
      <c r="AP5" s="11" t="s">
        <v>44</v>
      </c>
      <c r="AQ5" s="11" t="s">
        <v>44</v>
      </c>
      <c r="AR5" s="11" t="s">
        <v>44</v>
      </c>
      <c r="AS5" s="11" t="s">
        <v>44</v>
      </c>
      <c r="AT5" s="11" t="s">
        <v>44</v>
      </c>
      <c r="AU5" s="11" t="s">
        <v>44</v>
      </c>
      <c r="AV5" s="11" t="s">
        <v>44</v>
      </c>
      <c r="AW5" s="11" t="s">
        <v>44</v>
      </c>
      <c r="AX5" s="11" t="s">
        <v>44</v>
      </c>
      <c r="AY5" s="11" t="s">
        <v>44</v>
      </c>
      <c r="AZ5" s="11" t="s">
        <v>44</v>
      </c>
      <c r="BC5" s="39"/>
      <c r="BD5" s="39"/>
      <c r="BE5" s="40"/>
      <c r="BF5" s="40"/>
      <c r="BG5" s="40"/>
      <c r="BH5" s="41"/>
      <c r="BI5" s="42"/>
      <c r="BJ5" s="42"/>
      <c r="BK5" s="17"/>
      <c r="BL5" s="4"/>
      <c r="BM5" s="43"/>
      <c r="BN5" s="44"/>
      <c r="BO5" s="41"/>
      <c r="BP5" s="4"/>
      <c r="BQ5" s="91"/>
      <c r="BR5" s="91"/>
      <c r="BS5" s="91"/>
      <c r="BT5" s="91"/>
      <c r="BU5" s="91"/>
      <c r="BV5" s="4"/>
      <c r="BW5" s="4"/>
      <c r="BX5" s="4"/>
      <c r="BY5" s="45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</row>
    <row r="6" spans="1:77" s="11" customFormat="1" ht="12.75">
      <c r="A6" s="46" t="s">
        <v>45</v>
      </c>
      <c r="B6" s="47"/>
      <c r="C6"/>
      <c r="D6"/>
      <c r="E6" s="48">
        <v>0.006</v>
      </c>
      <c r="F6" s="48">
        <v>0.002</v>
      </c>
      <c r="G6" s="48">
        <v>0.02</v>
      </c>
      <c r="H6" s="48">
        <v>0.03</v>
      </c>
      <c r="I6" s="48">
        <v>0.01</v>
      </c>
      <c r="J6" s="48">
        <v>0.025</v>
      </c>
      <c r="K6" s="48">
        <v>0.005</v>
      </c>
      <c r="L6" s="48">
        <v>0.1</v>
      </c>
      <c r="M6" s="48">
        <v>0.01</v>
      </c>
      <c r="N6" s="48">
        <v>0.03</v>
      </c>
      <c r="O6" s="48">
        <v>0.01</v>
      </c>
      <c r="P6" s="48">
        <v>0.05</v>
      </c>
      <c r="Q6" s="48">
        <v>0.4</v>
      </c>
      <c r="R6" s="48"/>
      <c r="S6" s="48"/>
      <c r="T6" s="48"/>
      <c r="U6" s="48">
        <v>0.05</v>
      </c>
      <c r="V6" s="48">
        <v>0.07</v>
      </c>
      <c r="W6" s="48">
        <v>0.002</v>
      </c>
      <c r="X6" s="48">
        <v>0.002</v>
      </c>
      <c r="Y6" s="48">
        <v>0.5</v>
      </c>
      <c r="Z6" s="48">
        <v>0.01</v>
      </c>
      <c r="AA6"/>
      <c r="AB6"/>
      <c r="AC6"/>
      <c r="AD6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49"/>
      <c r="AT6" s="49"/>
      <c r="AU6" s="49"/>
      <c r="AV6" s="49"/>
      <c r="AW6" s="50"/>
      <c r="AX6" s="50"/>
      <c r="AY6" s="50"/>
      <c r="AZ6" s="50"/>
      <c r="BC6" s="51"/>
      <c r="BD6" s="51"/>
      <c r="BE6" s="52"/>
      <c r="BF6" s="52"/>
      <c r="BG6" s="52"/>
      <c r="BH6" s="41"/>
      <c r="BI6" s="42"/>
      <c r="BJ6" s="42"/>
      <c r="BK6" s="17"/>
      <c r="BL6" s="4"/>
      <c r="BM6" s="43"/>
      <c r="BN6" s="44"/>
      <c r="BO6" s="41"/>
      <c r="BQ6" s="34"/>
      <c r="BR6" s="34"/>
      <c r="BS6" s="34"/>
      <c r="BT6" s="34"/>
      <c r="BU6" s="34"/>
      <c r="BY6" s="53"/>
    </row>
    <row r="7" ht="12.75"/>
    <row r="8" spans="1:73" ht="12.75">
      <c r="A8" s="54">
        <v>38278</v>
      </c>
      <c r="B8" s="2" t="s">
        <v>46</v>
      </c>
      <c r="C8">
        <v>809933</v>
      </c>
      <c r="E8" s="77">
        <v>0.006</v>
      </c>
      <c r="F8" s="77">
        <v>0.002</v>
      </c>
      <c r="G8" s="77">
        <v>0.0349</v>
      </c>
      <c r="H8" s="77">
        <v>2.719</v>
      </c>
      <c r="I8" s="77">
        <v>0.01</v>
      </c>
      <c r="J8" s="77">
        <v>0.025</v>
      </c>
      <c r="K8" s="77">
        <v>0.007</v>
      </c>
      <c r="L8" s="77">
        <v>0.1886</v>
      </c>
      <c r="M8" s="77">
        <v>0.3477</v>
      </c>
      <c r="N8" s="77">
        <v>0.1954</v>
      </c>
      <c r="O8" s="77">
        <v>2.551</v>
      </c>
      <c r="P8" s="77">
        <v>0.683</v>
      </c>
      <c r="Q8" s="77">
        <v>2.686</v>
      </c>
      <c r="R8" s="77">
        <v>6.14</v>
      </c>
      <c r="S8" s="77">
        <v>17.3</v>
      </c>
      <c r="T8" s="77">
        <v>20.13</v>
      </c>
      <c r="U8" s="77">
        <v>0.05</v>
      </c>
      <c r="V8" s="77">
        <v>0.6368</v>
      </c>
      <c r="W8" s="77">
        <v>0.002</v>
      </c>
      <c r="X8" s="77">
        <v>0.002</v>
      </c>
      <c r="Y8" s="77">
        <v>1.8</v>
      </c>
      <c r="Z8" s="77">
        <v>0.06</v>
      </c>
      <c r="AA8" s="77">
        <v>0.025</v>
      </c>
      <c r="AE8" s="49">
        <f aca="true" t="shared" si="0" ref="AE8:AE71">$E8/56*2*1000</f>
        <v>0.2142857142857143</v>
      </c>
      <c r="AF8" s="49">
        <f aca="true" t="shared" si="1" ref="AF8:AF71">$F8/55*2*1000</f>
        <v>0.07272727272727272</v>
      </c>
      <c r="AG8" s="49">
        <f aca="true" t="shared" si="2" ref="AG8:AG71">$G8/27*3*1000</f>
        <v>3.8777777777777778</v>
      </c>
      <c r="AH8" s="49">
        <f aca="true" t="shared" si="3" ref="AH8:AH71">$H8/28*4*1000</f>
        <v>388.4285714285714</v>
      </c>
      <c r="AI8" s="49">
        <f aca="true" t="shared" si="4" ref="AI8:AI71">$I8/14*1*1000</f>
        <v>0.7142857142857143</v>
      </c>
      <c r="AJ8" s="49">
        <f aca="true" t="shared" si="5" ref="AJ8:AJ71">$J8/14*1*1000</f>
        <v>1.7857142857142858</v>
      </c>
      <c r="AK8" s="49">
        <f aca="true" t="shared" si="6" ref="AK8:AK71">$K8/31*3*1000</f>
        <v>0.6774193548387097</v>
      </c>
      <c r="AL8" s="49">
        <f aca="true" t="shared" si="7" ref="AL8:AL71">$L8/39*1*1000</f>
        <v>4.835897435897436</v>
      </c>
      <c r="AM8" s="49">
        <f aca="true" t="shared" si="8" ref="AM8:AM71">$M8/40*2*1000</f>
        <v>17.385</v>
      </c>
      <c r="AN8" s="49">
        <f aca="true" t="shared" si="9" ref="AN8:AN71">$N8/24*2*1000</f>
        <v>16.283333333333335</v>
      </c>
      <c r="AO8" s="49">
        <f aca="true" t="shared" si="10" ref="AO8:AO71">$O8/23*1*1000</f>
        <v>110.91304347826087</v>
      </c>
      <c r="AP8" s="49">
        <f aca="true" t="shared" si="11" ref="AP8:AP71">$P8/32*2*1000</f>
        <v>42.6875</v>
      </c>
      <c r="AQ8" s="49">
        <f aca="true" t="shared" si="12" ref="AQ8:AQ71">$Q8/35*1*1000</f>
        <v>76.74285714285715</v>
      </c>
      <c r="AR8" s="100">
        <f>SUM(10^(6-R8))</f>
        <v>0.7244359600749906</v>
      </c>
      <c r="AS8" s="49">
        <f aca="true" t="shared" si="13" ref="AS8:AS71">$U8/31*3*1000</f>
        <v>4.838709677419355</v>
      </c>
      <c r="AT8" s="49">
        <f aca="true" t="shared" si="14" ref="AT8:AT43">$V8/32*2*1000</f>
        <v>39.800000000000004</v>
      </c>
      <c r="AU8" s="49">
        <f aca="true" t="shared" si="15" ref="AU8:AU71">$W8/63*2*1000</f>
        <v>0.06349206349206349</v>
      </c>
      <c r="AV8" s="49">
        <f aca="true" t="shared" si="16" ref="AV8:AV71">$X8/65*2*1000</f>
        <v>0.061538461538461535</v>
      </c>
      <c r="AW8" s="100">
        <f aca="true" t="shared" si="17" ref="AW8:AW71">$Z8/14*1*1000</f>
        <v>4.285714285714286</v>
      </c>
      <c r="AX8" s="100">
        <f>AW8-(AI8+AJ8)</f>
        <v>1.7857142857142856</v>
      </c>
      <c r="AY8" s="100"/>
      <c r="AZ8" s="100">
        <f>AI8+AJ8</f>
        <v>2.5</v>
      </c>
      <c r="BA8" s="79"/>
      <c r="BB8" s="79"/>
      <c r="BC8" s="49">
        <f aca="true" t="shared" si="18" ref="BC8:BC52">AL8+AM8+AN8+AO8+AI8</f>
        <v>150.13155996177738</v>
      </c>
      <c r="BD8" s="49">
        <f aca="true" t="shared" si="19" ref="BD8:BD52">AJ8+AP8+AQ8</f>
        <v>121.21607142857144</v>
      </c>
      <c r="BE8" s="101">
        <f aca="true" t="shared" si="20" ref="BE8:BE52">ABS(BC8-BD8)/(BC8+BD8)*100</f>
        <v>10.656252418731965</v>
      </c>
      <c r="BF8" s="102">
        <f>(('[2]setup'!$B$13*'[2]setup'!$B$14*'[2]setup'!$B$15)/10^(-R8))*10^6</f>
        <v>16.367931678309713</v>
      </c>
      <c r="BG8" s="103">
        <f aca="true" t="shared" si="21" ref="BG8:BG31">((10^-(0.96+0.9*R8-0.039*R8^2))*Y8*10)/((10^-(0.96+0.9*R8-0.039*R8^2))+10^(-R8))</f>
        <v>16.74242481976085</v>
      </c>
      <c r="BH8" s="102">
        <f aca="true" t="shared" si="22" ref="BH8:BH31">(AM8+AN8+AO8+AL8+AI8)-(AP8+AQ8+AJ8)</f>
        <v>28.915488533205945</v>
      </c>
      <c r="BI8" s="102">
        <f aca="true" t="shared" si="23" ref="BI8:BI31">(AM8+AN8+AO8+AL8+AI8)+((10^-R8)*10^6)</f>
        <v>150.85599592185238</v>
      </c>
      <c r="BJ8" s="102">
        <f aca="true" t="shared" si="24" ref="BJ8:BJ16">(AP8+AQ8+AJ8+BG8+BF8)</f>
        <v>154.326427926642</v>
      </c>
      <c r="BK8" s="30">
        <f aca="true" t="shared" si="25" ref="BK8:BK31">ABS(BI8-BJ8)/(BI8+BJ8)*100</f>
        <v>1.1371664072346725</v>
      </c>
      <c r="BL8" s="101"/>
      <c r="BM8" s="49">
        <f>(3*('[2]setup'!$D$19*(10^-R8)^3)+2*('[2]setup'!$D$20*'[2]setup'!$D$19*((10^-R8)^2))+('[2]setup'!$D$21*'[2]setup'!$D$19*10^-R8)+('[2]setup'!$D$19*'[2]setup'!$D$22*(AP8/(10^6*2))*(10^-R8)^3))*10^6</f>
        <v>0.0010887948548411114</v>
      </c>
      <c r="BN8" s="100">
        <f aca="true" t="shared" si="26" ref="BN8:BN17">(AM8+AN8+AO8+AL8+AI8+(10^-R8)*10^6+BM8)-(AP8+AQ8+AJ8+BF8)</f>
        <v>13.273081609826079</v>
      </c>
      <c r="BO8" s="102">
        <f>(BN8/((('[2]setup'!$C$26)/10^-R8)+2*(('[2]setup'!$C$26*'[2]setup'!$C$27)/(10^-R8^2))+3*(('[2]setup'!$C$26*'[2]setup'!$C$27*'[2]setup'!$C$28)/(10^-R8^3))))/(10^-R8^3/(10^-R8^3+'[2]setup'!$C$26*10^-R8^2+'[2]setup'!$C$26*'[2]setup'!$C$27*10^-R8+'[2]setup'!$C$26*'[2]setup'!$C$27*'[2]setup'!$C$28))</f>
        <v>5.763359281292111</v>
      </c>
      <c r="BQ8" s="111">
        <f>AI8+AL8+AM8+AN8+AO8</f>
        <v>150.13155996177736</v>
      </c>
      <c r="BR8" s="111">
        <f>AJ8+AP8+AQ8</f>
        <v>121.21607142857144</v>
      </c>
      <c r="BS8" s="111">
        <f>BQ8/BR8</f>
        <v>1.2385450063875798</v>
      </c>
      <c r="BT8" s="111">
        <f>(AL8+AM8+AN8+AO8)-(AJ8+AP8+AQ8)</f>
        <v>28.201202818920223</v>
      </c>
      <c r="BU8" s="111">
        <f>AO8/AQ8</f>
        <v>1.445255592605782</v>
      </c>
    </row>
    <row r="9" spans="1:73" ht="12.75">
      <c r="A9" s="54">
        <v>38307</v>
      </c>
      <c r="B9" s="2" t="s">
        <v>46</v>
      </c>
      <c r="C9">
        <v>812164</v>
      </c>
      <c r="E9" s="77">
        <v>0.0088</v>
      </c>
      <c r="F9" s="77">
        <v>0.0025</v>
      </c>
      <c r="G9" s="77">
        <v>0.0764</v>
      </c>
      <c r="H9" s="77">
        <v>2.903</v>
      </c>
      <c r="I9" s="77">
        <v>0.0231</v>
      </c>
      <c r="J9" s="77">
        <v>0.04324</v>
      </c>
      <c r="K9" s="77">
        <v>0.0054</v>
      </c>
      <c r="L9" s="77">
        <v>0.1832</v>
      </c>
      <c r="M9" s="77">
        <v>0.6105</v>
      </c>
      <c r="N9" s="77">
        <v>0.322</v>
      </c>
      <c r="O9" s="77">
        <v>2.826</v>
      </c>
      <c r="P9" s="77">
        <v>0.6721</v>
      </c>
      <c r="Q9" s="77">
        <v>2.592</v>
      </c>
      <c r="R9" s="77">
        <v>6.49</v>
      </c>
      <c r="S9" s="77">
        <v>18</v>
      </c>
      <c r="T9" s="77">
        <v>22.81</v>
      </c>
      <c r="U9" s="77">
        <v>0.05</v>
      </c>
      <c r="V9" s="77">
        <v>0.6834</v>
      </c>
      <c r="W9" s="77">
        <v>0.002</v>
      </c>
      <c r="X9" s="77">
        <v>0.002</v>
      </c>
      <c r="Y9" s="77">
        <v>2.184</v>
      </c>
      <c r="Z9" s="77">
        <v>0.08842</v>
      </c>
      <c r="AA9" s="77">
        <v>0.022080000000000002</v>
      </c>
      <c r="AE9" s="49">
        <f t="shared" si="0"/>
        <v>0.31428571428571433</v>
      </c>
      <c r="AF9" s="49">
        <f t="shared" si="1"/>
        <v>0.09090909090909091</v>
      </c>
      <c r="AG9" s="49">
        <f t="shared" si="2"/>
        <v>8.488888888888887</v>
      </c>
      <c r="AH9" s="49">
        <f t="shared" si="3"/>
        <v>414.7142857142857</v>
      </c>
      <c r="AI9" s="49">
        <f t="shared" si="4"/>
        <v>1.65</v>
      </c>
      <c r="AJ9" s="49">
        <f t="shared" si="5"/>
        <v>3.088571428571429</v>
      </c>
      <c r="AK9" s="49">
        <f t="shared" si="6"/>
        <v>0.5225806451612903</v>
      </c>
      <c r="AL9" s="49">
        <f t="shared" si="7"/>
        <v>4.697435897435897</v>
      </c>
      <c r="AM9" s="49">
        <f t="shared" si="8"/>
        <v>30.525000000000002</v>
      </c>
      <c r="AN9" s="49">
        <f t="shared" si="9"/>
        <v>26.833333333333336</v>
      </c>
      <c r="AO9" s="49">
        <f t="shared" si="10"/>
        <v>122.86956521739131</v>
      </c>
      <c r="AP9" s="49">
        <f t="shared" si="11"/>
        <v>42.00625</v>
      </c>
      <c r="AQ9" s="49">
        <f t="shared" si="12"/>
        <v>74.05714285714286</v>
      </c>
      <c r="AR9" s="100">
        <f aca="true" t="shared" si="27" ref="AR9:AR52">SUM(10^(6-R9))</f>
        <v>0.32359365692962805</v>
      </c>
      <c r="AS9" s="49">
        <f t="shared" si="13"/>
        <v>4.838709677419355</v>
      </c>
      <c r="AT9" s="49">
        <f t="shared" si="14"/>
        <v>42.7125</v>
      </c>
      <c r="AU9" s="49">
        <f t="shared" si="15"/>
        <v>0.06349206349206349</v>
      </c>
      <c r="AV9" s="49">
        <f t="shared" si="16"/>
        <v>0.061538461538461535</v>
      </c>
      <c r="AW9" s="100">
        <f t="shared" si="17"/>
        <v>6.315714285714286</v>
      </c>
      <c r="AX9" s="100">
        <f aca="true" t="shared" si="28" ref="AX9:AX52">AW9-(AI9+AJ9)</f>
        <v>1.5771428571428565</v>
      </c>
      <c r="AY9" s="100"/>
      <c r="AZ9" s="100">
        <f aca="true" t="shared" si="29" ref="AZ9:AZ52">AI9+AJ9</f>
        <v>4.738571428571429</v>
      </c>
      <c r="BA9" s="79"/>
      <c r="BB9" s="79"/>
      <c r="BC9" s="49">
        <f t="shared" si="18"/>
        <v>186.57533444816056</v>
      </c>
      <c r="BD9" s="49">
        <f t="shared" si="19"/>
        <v>119.15196428571429</v>
      </c>
      <c r="BE9" s="101">
        <f t="shared" si="20"/>
        <v>22.053434692181682</v>
      </c>
      <c r="BF9" s="102">
        <f>(('[2]setup'!$B$13*'[2]setup'!$B$14*'[2]setup'!$B$15)/10^(-R9))*10^6</f>
        <v>36.64323464287438</v>
      </c>
      <c r="BG9" s="103">
        <f t="shared" si="21"/>
        <v>20.867720538038853</v>
      </c>
      <c r="BH9" s="102">
        <f t="shared" si="22"/>
        <v>67.42337016244626</v>
      </c>
      <c r="BI9" s="102">
        <f t="shared" si="23"/>
        <v>186.8989281050902</v>
      </c>
      <c r="BJ9" s="102">
        <f t="shared" si="24"/>
        <v>176.66291946662753</v>
      </c>
      <c r="BK9" s="30">
        <f t="shared" si="25"/>
        <v>2.8154793212847964</v>
      </c>
      <c r="BL9" s="101"/>
      <c r="BM9" s="49">
        <f>(3*('[2]setup'!$D$19*(10^-R9)^3)+2*('[2]setup'!$D$20*'[2]setup'!$D$19*((10^-R9)^2))+('[2]setup'!$D$21*'[2]setup'!$D$19*10^-R9)+('[2]setup'!$D$19*'[2]setup'!$D$22*(AP9/(10^6*2))*(10^-R9)^3))*10^6</f>
        <v>0.00036163992203922294</v>
      </c>
      <c r="BN9" s="100">
        <f t="shared" si="26"/>
        <v>31.104090816423536</v>
      </c>
      <c r="BO9" s="102">
        <f>(BN9/((('[2]setup'!$C$26)/10^-R9)+2*(('[2]setup'!$C$26*'[2]setup'!$C$27)/(10^-R9^2))+3*(('[2]setup'!$C$26*'[2]setup'!$C$27*'[2]setup'!$C$28)/(10^-R9^3))))/(10^-R9^3/(10^-R9^3+'[2]setup'!$C$26*10^-R9^2+'[2]setup'!$C$26*'[2]setup'!$C$27*10^-R9+'[2]setup'!$C$26*'[2]setup'!$C$27*'[2]setup'!$C$28))</f>
        <v>12.39390967623695</v>
      </c>
      <c r="BQ9" s="111">
        <f aca="true" t="shared" si="30" ref="BQ9:BQ72">AI9+AL9+AM9+AN9+AO9</f>
        <v>186.57533444816056</v>
      </c>
      <c r="BR9" s="111">
        <f aca="true" t="shared" si="31" ref="BR9:BR72">AJ9+AP9+AQ9</f>
        <v>119.15196428571429</v>
      </c>
      <c r="BS9" s="111">
        <f aca="true" t="shared" si="32" ref="BS9:BS72">BQ9/BR9</f>
        <v>1.5658603327828646</v>
      </c>
      <c r="BT9" s="111">
        <f aca="true" t="shared" si="33" ref="BT9:BT72">(AL9+AM9+AN9+AO9)-(AJ9+AP9+AQ9)</f>
        <v>65.77337016244627</v>
      </c>
      <c r="BU9" s="111">
        <f aca="true" t="shared" si="34" ref="BU9:BU72">AO9/AQ9</f>
        <v>1.6591183574879227</v>
      </c>
    </row>
    <row r="10" spans="1:73" ht="12.75">
      <c r="A10" s="54">
        <v>38335</v>
      </c>
      <c r="B10" s="2" t="s">
        <v>46</v>
      </c>
      <c r="C10">
        <v>815036</v>
      </c>
      <c r="E10" s="77">
        <v>0.006</v>
      </c>
      <c r="F10" s="77">
        <v>0.002</v>
      </c>
      <c r="G10" s="77">
        <v>0.02</v>
      </c>
      <c r="H10" s="77">
        <v>3.078</v>
      </c>
      <c r="I10" s="77">
        <v>0.01</v>
      </c>
      <c r="J10" s="77">
        <v>0.08831</v>
      </c>
      <c r="K10" s="77">
        <v>0.0173</v>
      </c>
      <c r="L10" s="77">
        <v>0.2314</v>
      </c>
      <c r="M10" s="77">
        <v>0.6109</v>
      </c>
      <c r="N10" s="77">
        <v>0.3054</v>
      </c>
      <c r="O10" s="77">
        <v>2.778</v>
      </c>
      <c r="P10" s="77">
        <v>0.7694</v>
      </c>
      <c r="Q10" s="77">
        <v>2.779</v>
      </c>
      <c r="R10" s="77">
        <v>6.59</v>
      </c>
      <c r="S10" s="77">
        <v>17.6</v>
      </c>
      <c r="T10" s="77">
        <v>23.475</v>
      </c>
      <c r="U10" s="77">
        <v>0.05</v>
      </c>
      <c r="V10" s="77">
        <v>0.7673</v>
      </c>
      <c r="W10" s="77">
        <v>0.002</v>
      </c>
      <c r="X10" s="77">
        <v>0.002</v>
      </c>
      <c r="Y10" s="77">
        <v>0.711</v>
      </c>
      <c r="Z10" s="77">
        <v>0.08369</v>
      </c>
      <c r="AA10" s="77">
        <v>-0.014619999999999994</v>
      </c>
      <c r="AE10" s="49">
        <f t="shared" si="0"/>
        <v>0.2142857142857143</v>
      </c>
      <c r="AF10" s="49">
        <f t="shared" si="1"/>
        <v>0.07272727272727272</v>
      </c>
      <c r="AG10" s="49">
        <f t="shared" si="2"/>
        <v>2.2222222222222223</v>
      </c>
      <c r="AH10" s="49">
        <f t="shared" si="3"/>
        <v>439.71428571428567</v>
      </c>
      <c r="AI10" s="49">
        <f t="shared" si="4"/>
        <v>0.7142857142857143</v>
      </c>
      <c r="AJ10" s="49">
        <f t="shared" si="5"/>
        <v>6.307857142857143</v>
      </c>
      <c r="AK10" s="49">
        <f t="shared" si="6"/>
        <v>1.6741935483870967</v>
      </c>
      <c r="AL10" s="49">
        <f t="shared" si="7"/>
        <v>5.933333333333333</v>
      </c>
      <c r="AM10" s="49">
        <f t="shared" si="8"/>
        <v>30.544999999999998</v>
      </c>
      <c r="AN10" s="49">
        <f t="shared" si="9"/>
        <v>25.45</v>
      </c>
      <c r="AO10" s="49">
        <f t="shared" si="10"/>
        <v>120.78260869565217</v>
      </c>
      <c r="AP10" s="49">
        <f t="shared" si="11"/>
        <v>48.0875</v>
      </c>
      <c r="AQ10" s="49">
        <f t="shared" si="12"/>
        <v>79.39999999999999</v>
      </c>
      <c r="AR10" s="100">
        <f t="shared" si="27"/>
        <v>0.25703957827688645</v>
      </c>
      <c r="AS10" s="49">
        <f t="shared" si="13"/>
        <v>4.838709677419355</v>
      </c>
      <c r="AT10" s="49">
        <f t="shared" si="14"/>
        <v>47.95625</v>
      </c>
      <c r="AU10" s="49">
        <f t="shared" si="15"/>
        <v>0.06349206349206349</v>
      </c>
      <c r="AV10" s="49">
        <f t="shared" si="16"/>
        <v>0.061538461538461535</v>
      </c>
      <c r="AW10" s="100">
        <f t="shared" si="17"/>
        <v>5.977857142857143</v>
      </c>
      <c r="AX10" s="100">
        <f t="shared" si="28"/>
        <v>-1.0442857142857145</v>
      </c>
      <c r="AY10" s="100"/>
      <c r="AZ10" s="100">
        <f t="shared" si="29"/>
        <v>7.022142857142858</v>
      </c>
      <c r="BA10" s="79"/>
      <c r="BB10" s="79"/>
      <c r="BC10" s="49">
        <f t="shared" si="18"/>
        <v>183.42522774327122</v>
      </c>
      <c r="BD10" s="49">
        <f t="shared" si="19"/>
        <v>133.79535714285714</v>
      </c>
      <c r="BE10" s="101">
        <f t="shared" si="20"/>
        <v>15.645223848959725</v>
      </c>
      <c r="BF10" s="102">
        <f>(('[2]setup'!$B$13*'[2]setup'!$B$14*'[2]setup'!$B$15)/10^(-R10))*10^6</f>
        <v>46.13109926225088</v>
      </c>
      <c r="BG10" s="103">
        <f t="shared" si="21"/>
        <v>6.8333456586619965</v>
      </c>
      <c r="BH10" s="102">
        <f t="shared" si="22"/>
        <v>49.62987060041411</v>
      </c>
      <c r="BI10" s="102">
        <f t="shared" si="23"/>
        <v>183.6822673215481</v>
      </c>
      <c r="BJ10" s="102">
        <f t="shared" si="24"/>
        <v>186.75980206376997</v>
      </c>
      <c r="BK10" s="30">
        <f t="shared" si="25"/>
        <v>0.8307735531573092</v>
      </c>
      <c r="BL10" s="101"/>
      <c r="BM10" s="49">
        <f>(3*('[2]setup'!$D$19*(10^-R10)^3)+2*('[2]setup'!$D$20*'[2]setup'!$D$19*((10^-R10)^2))+('[2]setup'!$D$21*'[2]setup'!$D$19*10^-R10)+('[2]setup'!$D$19*'[2]setup'!$D$22*(AP10/(10^6*2))*(10^-R10)^3))*10^6</f>
        <v>0.0002732312199759329</v>
      </c>
      <c r="BN10" s="100">
        <f t="shared" si="26"/>
        <v>3.75608414766009</v>
      </c>
      <c r="BO10" s="102">
        <f>(BN10/((('[2]setup'!$C$26)/10^-R10)+2*(('[2]setup'!$C$26*'[2]setup'!$C$27)/(10^-R10^2))+3*(('[2]setup'!$C$26*'[2]setup'!$C$27*'[2]setup'!$C$28)/(10^-R10^3))))/(10^-R10^3/(10^-R10^3+'[2]setup'!$C$26*10^-R10^2+'[2]setup'!$C$26*'[2]setup'!$C$27*10^-R10+'[2]setup'!$C$26*'[2]setup'!$C$27*'[2]setup'!$C$28))</f>
        <v>1.4622380116496543</v>
      </c>
      <c r="BQ10" s="111">
        <f t="shared" si="30"/>
        <v>183.42522774327122</v>
      </c>
      <c r="BR10" s="111">
        <f t="shared" si="31"/>
        <v>133.79535714285714</v>
      </c>
      <c r="BS10" s="111">
        <f t="shared" si="32"/>
        <v>1.3709386608043719</v>
      </c>
      <c r="BT10" s="111">
        <f t="shared" si="33"/>
        <v>48.91558488612836</v>
      </c>
      <c r="BU10" s="111">
        <f t="shared" si="34"/>
        <v>1.521191545285292</v>
      </c>
    </row>
    <row r="11" spans="1:73" ht="12.75">
      <c r="A11" s="54">
        <v>38377</v>
      </c>
      <c r="B11" s="2" t="s">
        <v>46</v>
      </c>
      <c r="C11">
        <v>816953</v>
      </c>
      <c r="E11" s="77">
        <v>0.006</v>
      </c>
      <c r="F11" s="77">
        <v>0.002</v>
      </c>
      <c r="G11" s="77">
        <v>0.02</v>
      </c>
      <c r="H11" s="77">
        <v>2.886</v>
      </c>
      <c r="I11" s="77">
        <v>0.01</v>
      </c>
      <c r="J11" s="77">
        <v>0.04365</v>
      </c>
      <c r="K11" s="77">
        <v>0.0155</v>
      </c>
      <c r="L11" s="77">
        <v>0.1887</v>
      </c>
      <c r="M11" s="77">
        <v>0.5386</v>
      </c>
      <c r="N11" s="77">
        <v>0.3121</v>
      </c>
      <c r="O11" s="77">
        <v>2.881</v>
      </c>
      <c r="P11" s="77">
        <v>0.7468</v>
      </c>
      <c r="Q11" s="77">
        <v>2.968</v>
      </c>
      <c r="R11" s="77">
        <v>6.61</v>
      </c>
      <c r="S11" s="77">
        <v>17.8</v>
      </c>
      <c r="T11" s="77">
        <v>23.303</v>
      </c>
      <c r="U11" s="77">
        <v>0.05</v>
      </c>
      <c r="V11" s="77">
        <v>0.7477</v>
      </c>
      <c r="W11" s="77">
        <v>0.002</v>
      </c>
      <c r="X11" s="77">
        <v>0.002</v>
      </c>
      <c r="Y11" s="77">
        <v>0.6282</v>
      </c>
      <c r="Z11" s="77">
        <v>0.06465</v>
      </c>
      <c r="AA11" s="77">
        <v>0.010999999999999996</v>
      </c>
      <c r="AE11" s="49">
        <f t="shared" si="0"/>
        <v>0.2142857142857143</v>
      </c>
      <c r="AF11" s="49">
        <f t="shared" si="1"/>
        <v>0.07272727272727272</v>
      </c>
      <c r="AG11" s="49">
        <f t="shared" si="2"/>
        <v>2.2222222222222223</v>
      </c>
      <c r="AH11" s="49">
        <f t="shared" si="3"/>
        <v>412.28571428571433</v>
      </c>
      <c r="AI11" s="49">
        <f t="shared" si="4"/>
        <v>0.7142857142857143</v>
      </c>
      <c r="AJ11" s="49">
        <f t="shared" si="5"/>
        <v>3.1178571428571433</v>
      </c>
      <c r="AK11" s="49">
        <f t="shared" si="6"/>
        <v>1.5</v>
      </c>
      <c r="AL11" s="49">
        <f t="shared" si="7"/>
        <v>4.838461538461539</v>
      </c>
      <c r="AM11" s="49">
        <f t="shared" si="8"/>
        <v>26.93</v>
      </c>
      <c r="AN11" s="49">
        <f t="shared" si="9"/>
        <v>26.008333333333333</v>
      </c>
      <c r="AO11" s="49">
        <f t="shared" si="10"/>
        <v>125.26086956521738</v>
      </c>
      <c r="AP11" s="49">
        <f t="shared" si="11"/>
        <v>46.675000000000004</v>
      </c>
      <c r="AQ11" s="49">
        <f t="shared" si="12"/>
        <v>84.8</v>
      </c>
      <c r="AR11" s="100">
        <f t="shared" si="27"/>
        <v>0.24547089156850282</v>
      </c>
      <c r="AS11" s="49">
        <f t="shared" si="13"/>
        <v>4.838709677419355</v>
      </c>
      <c r="AT11" s="49">
        <f t="shared" si="14"/>
        <v>46.73125</v>
      </c>
      <c r="AU11" s="49">
        <f t="shared" si="15"/>
        <v>0.06349206349206349</v>
      </c>
      <c r="AV11" s="49">
        <f t="shared" si="16"/>
        <v>0.061538461538461535</v>
      </c>
      <c r="AW11" s="100">
        <f t="shared" si="17"/>
        <v>4.617857142857143</v>
      </c>
      <c r="AX11" s="100">
        <f t="shared" si="28"/>
        <v>0.7857142857142851</v>
      </c>
      <c r="AY11" s="100"/>
      <c r="AZ11" s="100">
        <f t="shared" si="29"/>
        <v>3.8321428571428577</v>
      </c>
      <c r="BA11" s="79"/>
      <c r="BB11" s="79"/>
      <c r="BC11" s="49">
        <f t="shared" si="18"/>
        <v>183.75195015129796</v>
      </c>
      <c r="BD11" s="49">
        <f t="shared" si="19"/>
        <v>134.59285714285716</v>
      </c>
      <c r="BE11" s="101">
        <f t="shared" si="20"/>
        <v>15.442090425874957</v>
      </c>
      <c r="BF11" s="102">
        <f>(('[2]setup'!$B$13*'[2]setup'!$B$14*'[2]setup'!$B$15)/10^(-R11))*10^6</f>
        <v>48.30519099047277</v>
      </c>
      <c r="BG11" s="103">
        <f t="shared" si="21"/>
        <v>6.044128827892441</v>
      </c>
      <c r="BH11" s="102">
        <f t="shared" si="22"/>
        <v>49.159093008440834</v>
      </c>
      <c r="BI11" s="102">
        <f t="shared" si="23"/>
        <v>183.99742104286648</v>
      </c>
      <c r="BJ11" s="102">
        <f t="shared" si="24"/>
        <v>188.94217696122234</v>
      </c>
      <c r="BK11" s="30">
        <f t="shared" si="25"/>
        <v>1.3258865362700514</v>
      </c>
      <c r="BL11" s="101"/>
      <c r="BM11" s="49">
        <f>(3*('[2]setup'!$D$19*(10^-R11)^3)+2*('[2]setup'!$D$20*'[2]setup'!$D$19*((10^-R11)^2))+('[2]setup'!$D$21*'[2]setup'!$D$19*10^-R11)+('[2]setup'!$D$19*'[2]setup'!$D$22*(AP11/(10^6*2))*(10^-R11)^3))*10^6</f>
        <v>0.0002586698742061602</v>
      </c>
      <c r="BN11" s="100">
        <f t="shared" si="26"/>
        <v>1.099631579410783</v>
      </c>
      <c r="BO11" s="102">
        <f>(BN11/((('[2]setup'!$C$26)/10^-R11)+2*(('[2]setup'!$C$26*'[2]setup'!$C$27)/(10^-R11^2))+3*(('[2]setup'!$C$26*'[2]setup'!$C$27*'[2]setup'!$C$28)/(10^-R11^3))))/(10^-R11^3/(10^-R11^3+'[2]setup'!$C$26*10^-R11^2+'[2]setup'!$C$26*'[2]setup'!$C$27*10^-R11+'[2]setup'!$C$26*'[2]setup'!$C$27*'[2]setup'!$C$28))</f>
        <v>0.4261653472278869</v>
      </c>
      <c r="BQ11" s="111">
        <f t="shared" si="30"/>
        <v>183.75195015129796</v>
      </c>
      <c r="BR11" s="111">
        <f t="shared" si="31"/>
        <v>134.59285714285716</v>
      </c>
      <c r="BS11" s="111">
        <f t="shared" si="32"/>
        <v>1.365242956067596</v>
      </c>
      <c r="BT11" s="111">
        <f t="shared" si="33"/>
        <v>48.44480729415508</v>
      </c>
      <c r="BU11" s="111">
        <f t="shared" si="34"/>
        <v>1.4771328958162426</v>
      </c>
    </row>
    <row r="12" spans="1:73" ht="12.75">
      <c r="A12" s="54">
        <v>38391</v>
      </c>
      <c r="B12" s="2" t="s">
        <v>46</v>
      </c>
      <c r="C12">
        <v>819276</v>
      </c>
      <c r="E12" s="77">
        <v>0.006</v>
      </c>
      <c r="F12" s="77">
        <v>0.002</v>
      </c>
      <c r="G12" s="77">
        <v>0.02</v>
      </c>
      <c r="H12" s="77">
        <v>2.911</v>
      </c>
      <c r="I12" s="77">
        <v>0.0101</v>
      </c>
      <c r="J12" s="77">
        <v>0.05252</v>
      </c>
      <c r="K12" s="77">
        <v>0.0167</v>
      </c>
      <c r="L12" s="77">
        <v>0.1358</v>
      </c>
      <c r="M12" s="77">
        <v>0.5768</v>
      </c>
      <c r="N12" s="77">
        <v>0.3318</v>
      </c>
      <c r="O12" s="77">
        <v>2.821</v>
      </c>
      <c r="P12" s="77">
        <v>0.7061</v>
      </c>
      <c r="Q12" s="77">
        <v>2.703</v>
      </c>
      <c r="R12" s="77">
        <v>6.52</v>
      </c>
      <c r="S12" s="77">
        <v>18.1</v>
      </c>
      <c r="T12" s="77">
        <v>23.245</v>
      </c>
      <c r="U12" s="77">
        <v>0.05</v>
      </c>
      <c r="V12" s="77">
        <v>0.7543</v>
      </c>
      <c r="W12" s="77">
        <v>0.002</v>
      </c>
      <c r="X12" s="77">
        <v>0.002</v>
      </c>
      <c r="Y12" s="77">
        <v>0.5</v>
      </c>
      <c r="Z12" s="77">
        <v>0.05071</v>
      </c>
      <c r="AA12" s="77">
        <v>-0.011909999999999997</v>
      </c>
      <c r="AE12" s="49">
        <f t="shared" si="0"/>
        <v>0.2142857142857143</v>
      </c>
      <c r="AF12" s="49">
        <f t="shared" si="1"/>
        <v>0.07272727272727272</v>
      </c>
      <c r="AG12" s="49">
        <f t="shared" si="2"/>
        <v>2.2222222222222223</v>
      </c>
      <c r="AH12" s="49">
        <f t="shared" si="3"/>
        <v>415.8571428571429</v>
      </c>
      <c r="AI12" s="49">
        <f t="shared" si="4"/>
        <v>0.7214285714285714</v>
      </c>
      <c r="AJ12" s="49">
        <f t="shared" si="5"/>
        <v>3.7514285714285713</v>
      </c>
      <c r="AK12" s="49">
        <f t="shared" si="6"/>
        <v>1.6161290322580646</v>
      </c>
      <c r="AL12" s="49">
        <f t="shared" si="7"/>
        <v>3.482051282051282</v>
      </c>
      <c r="AM12" s="49">
        <f t="shared" si="8"/>
        <v>28.839999999999996</v>
      </c>
      <c r="AN12" s="49">
        <f t="shared" si="9"/>
        <v>27.65</v>
      </c>
      <c r="AO12" s="49">
        <f t="shared" si="10"/>
        <v>122.6521739130435</v>
      </c>
      <c r="AP12" s="49">
        <f t="shared" si="11"/>
        <v>44.131249999999994</v>
      </c>
      <c r="AQ12" s="49">
        <f t="shared" si="12"/>
        <v>77.22857142857143</v>
      </c>
      <c r="AR12" s="100">
        <f t="shared" si="27"/>
        <v>0.30199517204020193</v>
      </c>
      <c r="AS12" s="49">
        <f t="shared" si="13"/>
        <v>4.838709677419355</v>
      </c>
      <c r="AT12" s="49">
        <f t="shared" si="14"/>
        <v>47.14375</v>
      </c>
      <c r="AU12" s="49">
        <f t="shared" si="15"/>
        <v>0.06349206349206349</v>
      </c>
      <c r="AV12" s="49">
        <f t="shared" si="16"/>
        <v>0.061538461538461535</v>
      </c>
      <c r="AW12" s="100">
        <f t="shared" si="17"/>
        <v>3.6221428571428573</v>
      </c>
      <c r="AX12" s="100">
        <f t="shared" si="28"/>
        <v>-0.8507142857142851</v>
      </c>
      <c r="AY12" s="100"/>
      <c r="AZ12" s="100">
        <f t="shared" si="29"/>
        <v>4.472857142857142</v>
      </c>
      <c r="BA12" s="79"/>
      <c r="BB12" s="79"/>
      <c r="BC12" s="49">
        <f t="shared" si="18"/>
        <v>183.34565376652333</v>
      </c>
      <c r="BD12" s="49">
        <f t="shared" si="19"/>
        <v>125.11124999999998</v>
      </c>
      <c r="BE12" s="101">
        <f t="shared" si="20"/>
        <v>18.87926742939819</v>
      </c>
      <c r="BF12" s="102">
        <f>(('[2]setup'!$B$13*'[2]setup'!$B$14*'[2]setup'!$B$15)/10^(-R12))*10^6</f>
        <v>39.26393332619127</v>
      </c>
      <c r="BG12" s="103">
        <f t="shared" si="21"/>
        <v>4.786163456155949</v>
      </c>
      <c r="BH12" s="102">
        <f t="shared" si="22"/>
        <v>58.23440376652336</v>
      </c>
      <c r="BI12" s="102">
        <f t="shared" si="23"/>
        <v>183.64764893856355</v>
      </c>
      <c r="BJ12" s="102">
        <f t="shared" si="24"/>
        <v>169.16134678234724</v>
      </c>
      <c r="BK12" s="30">
        <f t="shared" si="25"/>
        <v>4.105990020638727</v>
      </c>
      <c r="BL12" s="101"/>
      <c r="BM12" s="49">
        <f>(3*('[2]setup'!$D$19*(10^-R12)^3)+2*('[2]setup'!$D$20*'[2]setup'!$D$19*((10^-R12)^2))+('[2]setup'!$D$21*'[2]setup'!$D$19*10^-R12)+('[2]setup'!$D$19*'[2]setup'!$D$22*(AP12/(10^6*2))*(10^-R12)^3))*10^6</f>
        <v>0.00033206507255631793</v>
      </c>
      <c r="BN12" s="100">
        <f t="shared" si="26"/>
        <v>19.272797677444856</v>
      </c>
      <c r="BO12" s="102">
        <f>(BN12/((('[2]setup'!$C$26)/10^-R12)+2*(('[2]setup'!$C$26*'[2]setup'!$C$27)/(10^-R12^2))+3*(('[2]setup'!$C$26*'[2]setup'!$C$27*'[2]setup'!$C$28)/(10^-R12^3))))/(10^-R12^3/(10^-R12^3+'[2]setup'!$C$26*10^-R12^2+'[2]setup'!$C$26*'[2]setup'!$C$27*10^-R12+'[2]setup'!$C$26*'[2]setup'!$C$27*'[2]setup'!$C$28))</f>
        <v>7.625147594589408</v>
      </c>
      <c r="BQ12" s="111">
        <f t="shared" si="30"/>
        <v>183.34565376652336</v>
      </c>
      <c r="BR12" s="111">
        <f t="shared" si="31"/>
        <v>125.11124999999998</v>
      </c>
      <c r="BS12" s="111">
        <f t="shared" si="32"/>
        <v>1.4654609698690035</v>
      </c>
      <c r="BT12" s="111">
        <f t="shared" si="33"/>
        <v>57.51297519509478</v>
      </c>
      <c r="BU12" s="111">
        <f t="shared" si="34"/>
        <v>1.5881709533690427</v>
      </c>
    </row>
    <row r="13" spans="1:73" ht="12.75">
      <c r="A13" s="54">
        <v>38419</v>
      </c>
      <c r="B13" s="2" t="s">
        <v>46</v>
      </c>
      <c r="C13">
        <v>821609</v>
      </c>
      <c r="E13" s="77">
        <v>0.006</v>
      </c>
      <c r="F13" s="77">
        <v>0.002</v>
      </c>
      <c r="G13" s="77">
        <v>0.02</v>
      </c>
      <c r="H13" s="77">
        <v>3.192</v>
      </c>
      <c r="I13" s="77">
        <v>0.0207</v>
      </c>
      <c r="J13" s="77">
        <v>0.1231</v>
      </c>
      <c r="K13" s="77">
        <v>0.0104</v>
      </c>
      <c r="L13" s="77">
        <v>0.1</v>
      </c>
      <c r="M13" s="77">
        <v>0.7059</v>
      </c>
      <c r="N13" s="77">
        <v>0.3674</v>
      </c>
      <c r="O13" s="77">
        <v>3.336</v>
      </c>
      <c r="P13" s="77">
        <v>0.8337</v>
      </c>
      <c r="Q13" s="77">
        <v>3.57</v>
      </c>
      <c r="R13" s="77">
        <v>6.7</v>
      </c>
      <c r="S13" s="77">
        <v>18.9</v>
      </c>
      <c r="T13" s="77">
        <v>26.774</v>
      </c>
      <c r="U13" s="77">
        <v>0.05</v>
      </c>
      <c r="V13" s="77">
        <v>0.8358</v>
      </c>
      <c r="W13" s="77">
        <v>0.002</v>
      </c>
      <c r="X13" s="77">
        <v>0.002</v>
      </c>
      <c r="Y13" s="77">
        <v>0.5</v>
      </c>
      <c r="Z13" s="77">
        <v>0.1652</v>
      </c>
      <c r="AA13" s="77">
        <v>0.021400000000000002</v>
      </c>
      <c r="AE13" s="49">
        <f t="shared" si="0"/>
        <v>0.2142857142857143</v>
      </c>
      <c r="AF13" s="49">
        <f t="shared" si="1"/>
        <v>0.07272727272727272</v>
      </c>
      <c r="AG13" s="49">
        <f t="shared" si="2"/>
        <v>2.2222222222222223</v>
      </c>
      <c r="AH13" s="49">
        <f t="shared" si="3"/>
        <v>456</v>
      </c>
      <c r="AI13" s="49">
        <f t="shared" si="4"/>
        <v>1.4785714285714284</v>
      </c>
      <c r="AJ13" s="49">
        <f t="shared" si="5"/>
        <v>8.792857142857143</v>
      </c>
      <c r="AK13" s="49">
        <f t="shared" si="6"/>
        <v>1.0064516129032257</v>
      </c>
      <c r="AL13" s="49">
        <f t="shared" si="7"/>
        <v>2.5641025641025643</v>
      </c>
      <c r="AM13" s="49">
        <f t="shared" si="8"/>
        <v>35.295</v>
      </c>
      <c r="AN13" s="49">
        <f t="shared" si="9"/>
        <v>30.616666666666667</v>
      </c>
      <c r="AO13" s="49">
        <f t="shared" si="10"/>
        <v>145.04347826086956</v>
      </c>
      <c r="AP13" s="49">
        <f t="shared" si="11"/>
        <v>52.10625</v>
      </c>
      <c r="AQ13" s="49">
        <f t="shared" si="12"/>
        <v>102</v>
      </c>
      <c r="AR13" s="100">
        <f t="shared" si="27"/>
        <v>0.1995262314968878</v>
      </c>
      <c r="AS13" s="49">
        <f t="shared" si="13"/>
        <v>4.838709677419355</v>
      </c>
      <c r="AT13" s="49">
        <f t="shared" si="14"/>
        <v>52.2375</v>
      </c>
      <c r="AU13" s="49">
        <f t="shared" si="15"/>
        <v>0.06349206349206349</v>
      </c>
      <c r="AV13" s="49">
        <f t="shared" si="16"/>
        <v>0.061538461538461535</v>
      </c>
      <c r="AW13" s="100">
        <f t="shared" si="17"/>
        <v>11.8</v>
      </c>
      <c r="AX13" s="100">
        <f t="shared" si="28"/>
        <v>1.5285714285714302</v>
      </c>
      <c r="AY13" s="100"/>
      <c r="AZ13" s="100">
        <f t="shared" si="29"/>
        <v>10.27142857142857</v>
      </c>
      <c r="BA13" s="79"/>
      <c r="BB13" s="79"/>
      <c r="BC13" s="49">
        <f t="shared" si="18"/>
        <v>214.99781892021022</v>
      </c>
      <c r="BD13" s="49">
        <f t="shared" si="19"/>
        <v>162.89910714285713</v>
      </c>
      <c r="BE13" s="101">
        <f t="shared" si="20"/>
        <v>13.78648731550103</v>
      </c>
      <c r="BF13" s="102">
        <f>(('[2]setup'!$B$13*'[2]setup'!$B$14*'[2]setup'!$B$15)/10^(-R13))*10^6</f>
        <v>59.428367943706206</v>
      </c>
      <c r="BG13" s="103">
        <f t="shared" si="21"/>
        <v>4.832705996217249</v>
      </c>
      <c r="BH13" s="102">
        <f t="shared" si="22"/>
        <v>52.09871177735309</v>
      </c>
      <c r="BI13" s="102">
        <f t="shared" si="23"/>
        <v>215.1973451517071</v>
      </c>
      <c r="BJ13" s="102">
        <f t="shared" si="24"/>
        <v>227.16018108278058</v>
      </c>
      <c r="BK13" s="30">
        <f t="shared" si="25"/>
        <v>2.704336474820626</v>
      </c>
      <c r="BL13" s="101"/>
      <c r="BM13" s="49">
        <f>(3*('[2]setup'!$D$19*(10^-R13)^3)+2*('[2]setup'!$D$20*'[2]setup'!$D$19*((10^-R13)^2))+('[2]setup'!$D$21*'[2]setup'!$D$19*10^-R13)+('[2]setup'!$D$19*'[2]setup'!$D$22*(AP13/(10^6*2))*(10^-R13)^3))*10^6</f>
        <v>0.0002031106110192425</v>
      </c>
      <c r="BN13" s="100">
        <f t="shared" si="26"/>
        <v>-7.129926824245217</v>
      </c>
      <c r="BO13" s="102">
        <f>(BN13/((('[2]setup'!$C$26)/10^-R13)+2*(('[2]setup'!$C$26*'[2]setup'!$C$27)/(10^-R13^2))+3*(('[2]setup'!$C$26*'[2]setup'!$C$27*'[2]setup'!$C$28)/(10^-R13^3))))/(10^-R13^3/(10^-R13^3+'[2]setup'!$C$26*10^-R13^2+'[2]setup'!$C$26*'[2]setup'!$C$27*10^-R13+'[2]setup'!$C$26*'[2]setup'!$C$27*'[2]setup'!$C$28))</f>
        <v>-2.710075672718357</v>
      </c>
      <c r="BQ13" s="111">
        <f t="shared" si="30"/>
        <v>214.99781892021022</v>
      </c>
      <c r="BR13" s="111">
        <f t="shared" si="31"/>
        <v>162.89910714285713</v>
      </c>
      <c r="BS13" s="111">
        <f t="shared" si="32"/>
        <v>1.3198219602988017</v>
      </c>
      <c r="BT13" s="111">
        <f t="shared" si="33"/>
        <v>50.62014034878166</v>
      </c>
      <c r="BU13" s="111">
        <f t="shared" si="34"/>
        <v>1.421994884910486</v>
      </c>
    </row>
    <row r="14" spans="1:73" ht="12.75">
      <c r="A14" s="54">
        <v>38433</v>
      </c>
      <c r="B14" s="2" t="s">
        <v>46</v>
      </c>
      <c r="C14">
        <v>823641</v>
      </c>
      <c r="E14" s="77">
        <v>0.006</v>
      </c>
      <c r="F14" s="77">
        <v>0.002</v>
      </c>
      <c r="G14" s="77">
        <v>0.02</v>
      </c>
      <c r="H14" s="77">
        <v>1.948</v>
      </c>
      <c r="I14" s="77">
        <v>0.0154</v>
      </c>
      <c r="J14" s="77">
        <v>0.025</v>
      </c>
      <c r="K14" s="77">
        <v>0.0054</v>
      </c>
      <c r="L14" s="77">
        <v>0.1611</v>
      </c>
      <c r="M14" s="77">
        <v>0.353</v>
      </c>
      <c r="N14" s="77">
        <v>0.2222</v>
      </c>
      <c r="O14" s="77">
        <v>2.153</v>
      </c>
      <c r="P14" s="77">
        <v>0.5488</v>
      </c>
      <c r="Q14" s="77">
        <v>2.564</v>
      </c>
      <c r="R14" s="77">
        <v>6.37</v>
      </c>
      <c r="S14" s="77">
        <v>20</v>
      </c>
      <c r="T14" s="77">
        <v>19.018</v>
      </c>
      <c r="U14" s="77">
        <v>0.05</v>
      </c>
      <c r="V14" s="77">
        <v>0.6234</v>
      </c>
      <c r="W14" s="77">
        <v>0.002</v>
      </c>
      <c r="X14" s="77">
        <v>0.002</v>
      </c>
      <c r="Y14" s="77">
        <v>0.8721</v>
      </c>
      <c r="Z14" s="77">
        <v>0.05157</v>
      </c>
      <c r="AA14" s="77">
        <v>0.011169999999999992</v>
      </c>
      <c r="AE14" s="49">
        <f t="shared" si="0"/>
        <v>0.2142857142857143</v>
      </c>
      <c r="AF14" s="49">
        <f t="shared" si="1"/>
        <v>0.07272727272727272</v>
      </c>
      <c r="AG14" s="49">
        <f t="shared" si="2"/>
        <v>2.2222222222222223</v>
      </c>
      <c r="AH14" s="49">
        <f t="shared" si="3"/>
        <v>278.2857142857143</v>
      </c>
      <c r="AI14" s="49">
        <f t="shared" si="4"/>
        <v>1.1</v>
      </c>
      <c r="AJ14" s="49">
        <f t="shared" si="5"/>
        <v>1.7857142857142858</v>
      </c>
      <c r="AK14" s="49">
        <f t="shared" si="6"/>
        <v>0.5225806451612903</v>
      </c>
      <c r="AL14" s="49">
        <f t="shared" si="7"/>
        <v>4.13076923076923</v>
      </c>
      <c r="AM14" s="49">
        <f t="shared" si="8"/>
        <v>17.65</v>
      </c>
      <c r="AN14" s="49">
        <f t="shared" si="9"/>
        <v>18.516666666666666</v>
      </c>
      <c r="AO14" s="49">
        <f t="shared" si="10"/>
        <v>93.60869565217392</v>
      </c>
      <c r="AP14" s="49">
        <f t="shared" si="11"/>
        <v>34.3</v>
      </c>
      <c r="AQ14" s="49">
        <f t="shared" si="12"/>
        <v>73.25714285714285</v>
      </c>
      <c r="AR14" s="100">
        <f t="shared" si="27"/>
        <v>0.4265795188015925</v>
      </c>
      <c r="AS14" s="49">
        <f t="shared" si="13"/>
        <v>4.838709677419355</v>
      </c>
      <c r="AT14" s="49">
        <f t="shared" si="14"/>
        <v>38.9625</v>
      </c>
      <c r="AU14" s="49">
        <f t="shared" si="15"/>
        <v>0.06349206349206349</v>
      </c>
      <c r="AV14" s="49">
        <f t="shared" si="16"/>
        <v>0.061538461538461535</v>
      </c>
      <c r="AW14" s="100">
        <f t="shared" si="17"/>
        <v>3.6835714285714283</v>
      </c>
      <c r="AX14" s="100">
        <f t="shared" si="28"/>
        <v>0.7978571428571422</v>
      </c>
      <c r="AY14" s="100"/>
      <c r="AZ14" s="100">
        <f t="shared" si="29"/>
        <v>2.885714285714286</v>
      </c>
      <c r="BA14" s="79"/>
      <c r="BB14" s="79"/>
      <c r="BC14" s="49">
        <f t="shared" si="18"/>
        <v>135.00613154960982</v>
      </c>
      <c r="BD14" s="49">
        <f t="shared" si="19"/>
        <v>109.34285714285713</v>
      </c>
      <c r="BE14" s="101">
        <f t="shared" si="20"/>
        <v>10.502713575398507</v>
      </c>
      <c r="BF14" s="102">
        <f>(('[2]setup'!$B$13*'[2]setup'!$B$14*'[2]setup'!$B$15)/10^(-R14))*10^6</f>
        <v>27.796736076617005</v>
      </c>
      <c r="BG14" s="103">
        <f t="shared" si="21"/>
        <v>8.266213546091711</v>
      </c>
      <c r="BH14" s="102">
        <f t="shared" si="22"/>
        <v>25.663274406752677</v>
      </c>
      <c r="BI14" s="102">
        <f t="shared" si="23"/>
        <v>135.4327110684114</v>
      </c>
      <c r="BJ14" s="102">
        <f t="shared" si="24"/>
        <v>145.40580676556584</v>
      </c>
      <c r="BK14" s="30">
        <f t="shared" si="25"/>
        <v>3.551185134458732</v>
      </c>
      <c r="BL14" s="101"/>
      <c r="BM14" s="49">
        <f>(3*('[2]setup'!$D$19*(10^-R14)^3)+2*('[2]setup'!$D$20*'[2]setup'!$D$19*((10^-R14)^2))+('[2]setup'!$D$21*'[2]setup'!$D$19*10^-R14)+('[2]setup'!$D$19*'[2]setup'!$D$22*(AP14/(10^6*2))*(10^-R14)^3))*10^6</f>
        <v>0.0005149965003290897</v>
      </c>
      <c r="BN14" s="100">
        <f t="shared" si="26"/>
        <v>-1.7063671545624004</v>
      </c>
      <c r="BO14" s="102">
        <f>(BN14/((('[2]setup'!$C$26)/10^-R14)+2*(('[2]setup'!$C$26*'[2]setup'!$C$27)/(10^-R14^2))+3*(('[2]setup'!$C$26*'[2]setup'!$C$27*'[2]setup'!$C$28)/(10^-R14^3))))/(10^-R14^3/(10^-R14^3+'[2]setup'!$C$26*10^-R14^2+'[2]setup'!$C$26*'[2]setup'!$C$27*10^-R14+'[2]setup'!$C$26*'[2]setup'!$C$27*'[2]setup'!$C$28))</f>
        <v>-0.7000703270282209</v>
      </c>
      <c r="BQ14" s="111">
        <f t="shared" si="30"/>
        <v>135.00613154960982</v>
      </c>
      <c r="BR14" s="111">
        <f t="shared" si="31"/>
        <v>109.34285714285713</v>
      </c>
      <c r="BS14" s="111">
        <f t="shared" si="32"/>
        <v>1.2347046261396248</v>
      </c>
      <c r="BT14" s="111">
        <f t="shared" si="33"/>
        <v>24.563274406752697</v>
      </c>
      <c r="BU14" s="111">
        <f t="shared" si="34"/>
        <v>1.277809808044496</v>
      </c>
    </row>
    <row r="15" spans="1:73" ht="12.75">
      <c r="A15" s="54">
        <v>38447</v>
      </c>
      <c r="B15" s="2" t="s">
        <v>46</v>
      </c>
      <c r="C15">
        <v>825271</v>
      </c>
      <c r="E15" s="77">
        <v>0.006</v>
      </c>
      <c r="F15" s="77">
        <v>0.002</v>
      </c>
      <c r="G15" s="77">
        <v>0.02</v>
      </c>
      <c r="H15" s="77">
        <v>2.664</v>
      </c>
      <c r="I15" s="77">
        <v>0.01</v>
      </c>
      <c r="J15" s="77">
        <v>0.03483</v>
      </c>
      <c r="K15" s="77">
        <v>0.005</v>
      </c>
      <c r="L15" s="77">
        <v>0.1922</v>
      </c>
      <c r="M15" s="77">
        <v>0.5636</v>
      </c>
      <c r="N15" s="77">
        <v>0.2831</v>
      </c>
      <c r="O15" s="77">
        <v>2.683</v>
      </c>
      <c r="P15" s="77">
        <v>0.6953</v>
      </c>
      <c r="Q15" s="77">
        <v>2.672</v>
      </c>
      <c r="R15" s="77">
        <v>6.7</v>
      </c>
      <c r="S15" s="77">
        <v>21.1</v>
      </c>
      <c r="T15" s="77">
        <v>22.303</v>
      </c>
      <c r="U15" s="77">
        <v>0.05</v>
      </c>
      <c r="V15" s="77">
        <v>0.8127</v>
      </c>
      <c r="W15" s="77">
        <v>0.0025</v>
      </c>
      <c r="X15" s="77">
        <v>0.002</v>
      </c>
      <c r="Y15" s="77">
        <v>0.6162</v>
      </c>
      <c r="Z15" s="77">
        <v>0.06379</v>
      </c>
      <c r="AA15" s="77">
        <v>0.018959999999999998</v>
      </c>
      <c r="AE15" s="49">
        <f t="shared" si="0"/>
        <v>0.2142857142857143</v>
      </c>
      <c r="AF15" s="49">
        <f t="shared" si="1"/>
        <v>0.07272727272727272</v>
      </c>
      <c r="AG15" s="49">
        <f t="shared" si="2"/>
        <v>2.2222222222222223</v>
      </c>
      <c r="AH15" s="49">
        <f t="shared" si="3"/>
        <v>380.5714285714286</v>
      </c>
      <c r="AI15" s="49">
        <f t="shared" si="4"/>
        <v>0.7142857142857143</v>
      </c>
      <c r="AJ15" s="49">
        <f t="shared" si="5"/>
        <v>2.487857142857143</v>
      </c>
      <c r="AK15" s="49">
        <f t="shared" si="6"/>
        <v>0.4838709677419355</v>
      </c>
      <c r="AL15" s="49">
        <f t="shared" si="7"/>
        <v>4.9282051282051285</v>
      </c>
      <c r="AM15" s="49">
        <f t="shared" si="8"/>
        <v>28.18</v>
      </c>
      <c r="AN15" s="49">
        <f t="shared" si="9"/>
        <v>23.59166666666667</v>
      </c>
      <c r="AO15" s="49">
        <f t="shared" si="10"/>
        <v>116.65217391304347</v>
      </c>
      <c r="AP15" s="49">
        <f t="shared" si="11"/>
        <v>43.456250000000004</v>
      </c>
      <c r="AQ15" s="49">
        <f t="shared" si="12"/>
        <v>76.34285714285714</v>
      </c>
      <c r="AR15" s="100">
        <f t="shared" si="27"/>
        <v>0.1995262314968878</v>
      </c>
      <c r="AS15" s="49">
        <f t="shared" si="13"/>
        <v>4.838709677419355</v>
      </c>
      <c r="AT15" s="49">
        <f t="shared" si="14"/>
        <v>50.793749999999996</v>
      </c>
      <c r="AU15" s="49">
        <f t="shared" si="15"/>
        <v>0.07936507936507936</v>
      </c>
      <c r="AV15" s="49">
        <f t="shared" si="16"/>
        <v>0.061538461538461535</v>
      </c>
      <c r="AW15" s="100">
        <f t="shared" si="17"/>
        <v>4.5564285714285715</v>
      </c>
      <c r="AX15" s="100">
        <f t="shared" si="28"/>
        <v>1.354285714285714</v>
      </c>
      <c r="AY15" s="100"/>
      <c r="AZ15" s="100">
        <f t="shared" si="29"/>
        <v>3.2021428571428574</v>
      </c>
      <c r="BA15" s="79"/>
      <c r="BB15" s="79"/>
      <c r="BC15" s="49">
        <f t="shared" si="18"/>
        <v>174.066331422201</v>
      </c>
      <c r="BD15" s="49">
        <f t="shared" si="19"/>
        <v>122.28696428571429</v>
      </c>
      <c r="BE15" s="101">
        <f t="shared" si="20"/>
        <v>17.47217523354971</v>
      </c>
      <c r="BF15" s="102">
        <f>(('[2]setup'!$B$13*'[2]setup'!$B$14*'[2]setup'!$B$15)/10^(-R15))*10^6</f>
        <v>59.428367943706206</v>
      </c>
      <c r="BG15" s="103">
        <f t="shared" si="21"/>
        <v>5.955826869738138</v>
      </c>
      <c r="BH15" s="102">
        <f t="shared" si="22"/>
        <v>51.77936713648671</v>
      </c>
      <c r="BI15" s="102">
        <f t="shared" si="23"/>
        <v>174.26585765369788</v>
      </c>
      <c r="BJ15" s="102">
        <f t="shared" si="24"/>
        <v>187.67115909915861</v>
      </c>
      <c r="BK15" s="30">
        <f t="shared" si="25"/>
        <v>3.70376635297692</v>
      </c>
      <c r="BL15" s="101"/>
      <c r="BM15" s="49">
        <f>(3*('[2]setup'!$D$19*(10^-R15)^3)+2*('[2]setup'!$D$20*'[2]setup'!$D$19*((10^-R15)^2))+('[2]setup'!$D$21*'[2]setup'!$D$19*10^-R15)+('[2]setup'!$D$19*'[2]setup'!$D$22*(AP15/(10^6*2))*(10^-R15)^3))*10^6</f>
        <v>0.00020310775735383633</v>
      </c>
      <c r="BN15" s="100">
        <f t="shared" si="26"/>
        <v>-7.4492714679652465</v>
      </c>
      <c r="BO15" s="102">
        <f>(BN15/((('[2]setup'!$C$26)/10^-R15)+2*(('[2]setup'!$C$26*'[2]setup'!$C$27)/(10^-R15^2))+3*(('[2]setup'!$C$26*'[2]setup'!$C$27*'[2]setup'!$C$28)/(10^-R15^3))))/(10^-R15^3/(10^-R15^3+'[2]setup'!$C$26*10^-R15^2+'[2]setup'!$C$26*'[2]setup'!$C$27*10^-R15+'[2]setup'!$C$26*'[2]setup'!$C$27*'[2]setup'!$C$28))</f>
        <v>-2.831458145707507</v>
      </c>
      <c r="BQ15" s="111">
        <f t="shared" si="30"/>
        <v>174.066331422201</v>
      </c>
      <c r="BR15" s="111">
        <f t="shared" si="31"/>
        <v>122.28696428571429</v>
      </c>
      <c r="BS15" s="111">
        <f t="shared" si="32"/>
        <v>1.4234250759182157</v>
      </c>
      <c r="BT15" s="111">
        <f t="shared" si="33"/>
        <v>51.065081422200976</v>
      </c>
      <c r="BU15" s="111">
        <f t="shared" si="34"/>
        <v>1.5280037750585784</v>
      </c>
    </row>
    <row r="16" spans="1:73" ht="12.75">
      <c r="A16" s="54">
        <v>38461</v>
      </c>
      <c r="B16" s="2" t="s">
        <v>46</v>
      </c>
      <c r="C16">
        <v>826110</v>
      </c>
      <c r="E16" s="77">
        <v>0.006</v>
      </c>
      <c r="F16" s="77">
        <v>0.002</v>
      </c>
      <c r="G16" s="77">
        <v>0.0395</v>
      </c>
      <c r="H16" s="77">
        <v>2.306</v>
      </c>
      <c r="I16" s="77">
        <v>0.01</v>
      </c>
      <c r="J16" s="77">
        <v>0.025</v>
      </c>
      <c r="K16" s="77">
        <v>0.005</v>
      </c>
      <c r="L16" s="77">
        <v>0.2128</v>
      </c>
      <c r="M16" s="77">
        <v>0.5607</v>
      </c>
      <c r="N16" s="77">
        <v>0.3196</v>
      </c>
      <c r="O16" s="77">
        <v>2.638</v>
      </c>
      <c r="P16" s="77">
        <v>0.6197</v>
      </c>
      <c r="Q16" s="77">
        <v>3.326</v>
      </c>
      <c r="R16" s="77">
        <v>6.55</v>
      </c>
      <c r="S16" s="77">
        <v>19.6</v>
      </c>
      <c r="T16" s="77">
        <v>23.298</v>
      </c>
      <c r="U16" s="77">
        <v>0.05</v>
      </c>
      <c r="V16" s="77">
        <v>0.7058</v>
      </c>
      <c r="W16" s="77">
        <v>0.0023</v>
      </c>
      <c r="X16" s="77">
        <v>0.002</v>
      </c>
      <c r="Y16" s="77">
        <v>1.697</v>
      </c>
      <c r="Z16" s="77">
        <v>0.04827</v>
      </c>
      <c r="AA16" s="77">
        <v>0.013269999999999997</v>
      </c>
      <c r="AE16" s="49">
        <f t="shared" si="0"/>
        <v>0.2142857142857143</v>
      </c>
      <c r="AF16" s="49">
        <f t="shared" si="1"/>
        <v>0.07272727272727272</v>
      </c>
      <c r="AG16" s="49">
        <f t="shared" si="2"/>
        <v>4.388888888888889</v>
      </c>
      <c r="AH16" s="49">
        <f t="shared" si="3"/>
        <v>329.42857142857144</v>
      </c>
      <c r="AI16" s="49">
        <f t="shared" si="4"/>
        <v>0.7142857142857143</v>
      </c>
      <c r="AJ16" s="49">
        <f t="shared" si="5"/>
        <v>1.7857142857142858</v>
      </c>
      <c r="AK16" s="49">
        <f t="shared" si="6"/>
        <v>0.4838709677419355</v>
      </c>
      <c r="AL16" s="49">
        <f t="shared" si="7"/>
        <v>5.456410256410256</v>
      </c>
      <c r="AM16" s="49">
        <f t="shared" si="8"/>
        <v>28.034999999999997</v>
      </c>
      <c r="AN16" s="49">
        <f t="shared" si="9"/>
        <v>26.633333333333333</v>
      </c>
      <c r="AO16" s="49">
        <f t="shared" si="10"/>
        <v>114.69565217391305</v>
      </c>
      <c r="AP16" s="49">
        <f t="shared" si="11"/>
        <v>38.73125</v>
      </c>
      <c r="AQ16" s="49">
        <f t="shared" si="12"/>
        <v>95.02857142857144</v>
      </c>
      <c r="AR16" s="100">
        <f t="shared" si="27"/>
        <v>0.2818382931264455</v>
      </c>
      <c r="AS16" s="49">
        <f t="shared" si="13"/>
        <v>4.838709677419355</v>
      </c>
      <c r="AT16" s="49">
        <f t="shared" si="14"/>
        <v>44.1125</v>
      </c>
      <c r="AU16" s="49">
        <f t="shared" si="15"/>
        <v>0.07301587301587302</v>
      </c>
      <c r="AV16" s="49">
        <f t="shared" si="16"/>
        <v>0.061538461538461535</v>
      </c>
      <c r="AW16" s="100">
        <f t="shared" si="17"/>
        <v>3.4478571428571425</v>
      </c>
      <c r="AX16" s="100">
        <f t="shared" si="28"/>
        <v>0.9478571428571425</v>
      </c>
      <c r="AY16" s="100"/>
      <c r="AZ16" s="100">
        <f t="shared" si="29"/>
        <v>2.5</v>
      </c>
      <c r="BA16" s="79"/>
      <c r="BB16" s="79"/>
      <c r="BC16" s="49">
        <f t="shared" si="18"/>
        <v>175.53468147794234</v>
      </c>
      <c r="BD16" s="49">
        <f t="shared" si="19"/>
        <v>135.54553571428573</v>
      </c>
      <c r="BE16" s="101">
        <f t="shared" si="20"/>
        <v>12.854930514255692</v>
      </c>
      <c r="BF16" s="102">
        <f>(('[2]setup'!$B$13*'[2]setup'!$B$14*'[2]setup'!$B$15)/10^(-R16))*10^6</f>
        <v>42.07206255857623</v>
      </c>
      <c r="BG16" s="103">
        <f t="shared" si="21"/>
        <v>16.272942522291157</v>
      </c>
      <c r="BH16" s="102">
        <f t="shared" si="22"/>
        <v>39.98914576365664</v>
      </c>
      <c r="BI16" s="102">
        <f t="shared" si="23"/>
        <v>175.8165197710688</v>
      </c>
      <c r="BJ16" s="102">
        <f t="shared" si="24"/>
        <v>193.8905407951531</v>
      </c>
      <c r="BK16" s="30">
        <f t="shared" si="25"/>
        <v>4.888741101239226</v>
      </c>
      <c r="BL16" s="101"/>
      <c r="BM16" s="49">
        <f>(3*('[2]setup'!$D$19*(10^-R16)^3)+2*('[2]setup'!$D$20*'[2]setup'!$D$19*((10^-R16)^2))+('[2]setup'!$D$21*'[2]setup'!$D$19*10^-R16)+('[2]setup'!$D$19*'[2]setup'!$D$22*(AP16/(10^6*2))*(10^-R16)^3))*10^6</f>
        <v>0.00030522992683196097</v>
      </c>
      <c r="BN16" s="100">
        <f t="shared" si="26"/>
        <v>-1.8007732718663192</v>
      </c>
      <c r="BO16" s="102">
        <f>(BN16/((('[2]setup'!$C$26)/10^-R16)+2*(('[2]setup'!$C$26*'[2]setup'!$C$27)/(10^-R16^2))+3*(('[2]setup'!$C$26*'[2]setup'!$C$27*'[2]setup'!$C$28)/(10^-R16^3))))/(10^-R16^3/(10^-R16^3+'[2]setup'!$C$26*10^-R16^2+'[2]setup'!$C$26*'[2]setup'!$C$27*10^-R16+'[2]setup'!$C$26*'[2]setup'!$C$27*'[2]setup'!$C$28))</f>
        <v>-0.7074892580226798</v>
      </c>
      <c r="BQ16" s="111">
        <f t="shared" si="30"/>
        <v>175.53468147794234</v>
      </c>
      <c r="BR16" s="111">
        <f t="shared" si="31"/>
        <v>135.54553571428573</v>
      </c>
      <c r="BS16" s="111">
        <f t="shared" si="32"/>
        <v>1.295023702204026</v>
      </c>
      <c r="BT16" s="111">
        <f t="shared" si="33"/>
        <v>39.274860049370886</v>
      </c>
      <c r="BU16" s="111">
        <f t="shared" si="34"/>
        <v>1.206959659076054</v>
      </c>
    </row>
    <row r="17" spans="1:73" ht="12.75">
      <c r="A17" s="54">
        <v>38477</v>
      </c>
      <c r="B17" s="2" t="s">
        <v>46</v>
      </c>
      <c r="C17">
        <v>827203</v>
      </c>
      <c r="E17" s="77">
        <v>0.006</v>
      </c>
      <c r="F17" s="77">
        <v>0.002</v>
      </c>
      <c r="G17" s="77">
        <v>0.0733</v>
      </c>
      <c r="H17" s="77">
        <v>2.505</v>
      </c>
      <c r="I17" s="77">
        <v>0.01</v>
      </c>
      <c r="J17" s="77">
        <v>0.04598</v>
      </c>
      <c r="K17" s="77">
        <v>0.005</v>
      </c>
      <c r="L17" s="77">
        <v>0.2108</v>
      </c>
      <c r="M17" s="77">
        <v>0.6885</v>
      </c>
      <c r="N17" s="77">
        <v>0.376</v>
      </c>
      <c r="O17" s="77">
        <v>2.977</v>
      </c>
      <c r="P17" s="77">
        <v>0.6923</v>
      </c>
      <c r="Q17" s="77">
        <v>3.341</v>
      </c>
      <c r="R17" s="77">
        <v>6.59</v>
      </c>
      <c r="S17" s="77">
        <v>17.7</v>
      </c>
      <c r="T17" s="77">
        <v>25.354</v>
      </c>
      <c r="U17" s="77">
        <v>0.05</v>
      </c>
      <c r="V17" s="77">
        <v>0.748</v>
      </c>
      <c r="W17" s="77">
        <v>0.002</v>
      </c>
      <c r="X17" s="77">
        <v>0.002</v>
      </c>
      <c r="Y17" s="77">
        <v>9.817</v>
      </c>
      <c r="Z17" s="77">
        <v>0.3816</v>
      </c>
      <c r="AA17" s="77">
        <v>0.32562</v>
      </c>
      <c r="AE17" s="49">
        <f t="shared" si="0"/>
        <v>0.2142857142857143</v>
      </c>
      <c r="AF17" s="49">
        <f t="shared" si="1"/>
        <v>0.07272727272727272</v>
      </c>
      <c r="AG17" s="49">
        <f t="shared" si="2"/>
        <v>8.144444444444444</v>
      </c>
      <c r="AH17" s="49">
        <f t="shared" si="3"/>
        <v>357.85714285714283</v>
      </c>
      <c r="AI17" s="49">
        <f t="shared" si="4"/>
        <v>0.7142857142857143</v>
      </c>
      <c r="AJ17" s="49">
        <f t="shared" si="5"/>
        <v>3.2842857142857143</v>
      </c>
      <c r="AK17" s="49">
        <f t="shared" si="6"/>
        <v>0.4838709677419355</v>
      </c>
      <c r="AL17" s="49">
        <f t="shared" si="7"/>
        <v>5.405128205128205</v>
      </c>
      <c r="AM17" s="49">
        <f t="shared" si="8"/>
        <v>34.425</v>
      </c>
      <c r="AN17" s="49">
        <f t="shared" si="9"/>
        <v>31.333333333333332</v>
      </c>
      <c r="AO17" s="49">
        <f t="shared" si="10"/>
        <v>129.43478260869566</v>
      </c>
      <c r="AP17" s="49">
        <f t="shared" si="11"/>
        <v>43.268750000000004</v>
      </c>
      <c r="AQ17" s="49">
        <f t="shared" si="12"/>
        <v>95.45714285714287</v>
      </c>
      <c r="AR17" s="100">
        <f t="shared" si="27"/>
        <v>0.25703957827688645</v>
      </c>
      <c r="AS17" s="49">
        <f t="shared" si="13"/>
        <v>4.838709677419355</v>
      </c>
      <c r="AT17" s="49">
        <f t="shared" si="14"/>
        <v>46.75</v>
      </c>
      <c r="AU17" s="49">
        <f t="shared" si="15"/>
        <v>0.06349206349206349</v>
      </c>
      <c r="AV17" s="49">
        <f t="shared" si="16"/>
        <v>0.061538461538461535</v>
      </c>
      <c r="AW17" s="100">
        <f t="shared" si="17"/>
        <v>27.25714285714286</v>
      </c>
      <c r="AX17" s="100">
        <f t="shared" si="28"/>
        <v>23.258571428571432</v>
      </c>
      <c r="AY17" s="100"/>
      <c r="AZ17" s="100">
        <f t="shared" si="29"/>
        <v>3.9985714285714287</v>
      </c>
      <c r="BA17" s="79"/>
      <c r="BB17" s="79"/>
      <c r="BC17" s="49">
        <f t="shared" si="18"/>
        <v>201.3125298614429</v>
      </c>
      <c r="BD17" s="49">
        <f t="shared" si="19"/>
        <v>142.01017857142858</v>
      </c>
      <c r="BE17" s="101">
        <f t="shared" si="20"/>
        <v>17.27306403957531</v>
      </c>
      <c r="BF17" s="104">
        <f>(('[2]setup'!$B$13*'[2]setup'!$B$14*'[2]setup'!$B$15)/10^(-R17))*10^6</f>
        <v>46.13109926225088</v>
      </c>
      <c r="BG17" s="103">
        <f>((10^-(0.96+0.9*R17-0.039*R17^2))*Y17*10)/((10^-(0.96+0.9*R17-0.039*R17^2))+10^(-R17))</f>
        <v>94.35014673851592</v>
      </c>
      <c r="BH17" s="104">
        <f t="shared" si="22"/>
        <v>59.302351290014315</v>
      </c>
      <c r="BI17" s="104"/>
      <c r="BJ17" s="104"/>
      <c r="BK17" s="105"/>
      <c r="BL17" s="106"/>
      <c r="BM17" s="107">
        <f>(3*('[2]setup'!$D$19*(10^-R17)^3)+2*('[2]setup'!$D$20*'[2]setup'!$D$19*((10^-R17)^2))+('[2]setup'!$D$21*'[2]setup'!$D$19*10^-R17)+('[2]setup'!$D$19*'[2]setup'!$D$22*(AP17/(10^6*2))*(10^-R17)^3))*10^6</f>
        <v>0.00027322782120935883</v>
      </c>
      <c r="BN17" s="108">
        <f t="shared" si="26"/>
        <v>13.428564833861515</v>
      </c>
      <c r="BO17" s="104">
        <f>(BN17/((('[2]setup'!$C$26)/10^-R17)+2*(('[2]setup'!$C$26*'[2]setup'!$C$27)/(10^-R17^2))+3*(('[2]setup'!$C$26*'[2]setup'!$C$27*'[2]setup'!$C$28)/(10^-R17^3))))/(10^-R17^3/(10^-R17^3+'[2]setup'!$C$26*10^-R17^2+'[2]setup'!$C$26*'[2]setup'!$C$27*10^-R17+'[2]setup'!$C$26*'[2]setup'!$C$27*'[2]setup'!$C$28))</f>
        <v>5.2277204583413095</v>
      </c>
      <c r="BQ17" s="111">
        <f t="shared" si="30"/>
        <v>201.3125298614429</v>
      </c>
      <c r="BR17" s="111">
        <f t="shared" si="31"/>
        <v>142.01017857142858</v>
      </c>
      <c r="BS17" s="111">
        <f t="shared" si="32"/>
        <v>1.4175922591364554</v>
      </c>
      <c r="BT17" s="111">
        <f t="shared" si="33"/>
        <v>58.58806557572859</v>
      </c>
      <c r="BU17" s="111">
        <f t="shared" si="34"/>
        <v>1.3559465403485027</v>
      </c>
    </row>
    <row r="18" spans="1:73" ht="12.75">
      <c r="A18" s="54">
        <v>38489</v>
      </c>
      <c r="B18" s="2" t="s">
        <v>46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100"/>
      <c r="AS18" s="49"/>
      <c r="AT18" s="49"/>
      <c r="AU18" s="49"/>
      <c r="AV18" s="49"/>
      <c r="AW18" s="100"/>
      <c r="AX18" s="100"/>
      <c r="AY18" s="100"/>
      <c r="AZ18" s="100"/>
      <c r="BA18" s="79"/>
      <c r="BB18" s="79"/>
      <c r="BC18" s="49"/>
      <c r="BD18" s="49"/>
      <c r="BE18" s="101"/>
      <c r="BF18" s="102"/>
      <c r="BG18" s="103"/>
      <c r="BH18" s="102"/>
      <c r="BI18" s="102"/>
      <c r="BJ18" s="102"/>
      <c r="BK18" s="30"/>
      <c r="BL18" s="101"/>
      <c r="BM18" s="49"/>
      <c r="BN18" s="100"/>
      <c r="BO18" s="102"/>
      <c r="BQ18" s="111"/>
      <c r="BR18" s="111"/>
      <c r="BS18" s="111"/>
      <c r="BT18" s="111"/>
      <c r="BU18" s="111"/>
    </row>
    <row r="19" spans="1:73" ht="12.75">
      <c r="A19" s="54">
        <v>38502</v>
      </c>
      <c r="B19" s="2" t="s">
        <v>46</v>
      </c>
      <c r="C19">
        <v>828805</v>
      </c>
      <c r="E19" s="77">
        <v>0.006</v>
      </c>
      <c r="F19" s="77">
        <v>0.002</v>
      </c>
      <c r="G19" s="77">
        <v>0.0829</v>
      </c>
      <c r="H19" s="77">
        <v>2.334</v>
      </c>
      <c r="I19" s="77">
        <v>0.01</v>
      </c>
      <c r="J19" s="77">
        <v>0.025</v>
      </c>
      <c r="K19" s="77">
        <v>0.0062</v>
      </c>
      <c r="L19" s="77">
        <v>0.2152</v>
      </c>
      <c r="M19" s="77">
        <v>0.6456</v>
      </c>
      <c r="N19" s="77">
        <v>0.3468</v>
      </c>
      <c r="O19" s="77">
        <v>2.532</v>
      </c>
      <c r="P19" s="77">
        <v>0.5243</v>
      </c>
      <c r="Q19" s="77">
        <v>2.717</v>
      </c>
      <c r="R19" s="77">
        <v>6.56</v>
      </c>
      <c r="S19" s="77">
        <v>20.3</v>
      </c>
      <c r="T19" s="77">
        <v>22.613</v>
      </c>
      <c r="U19" s="77">
        <v>0.05</v>
      </c>
      <c r="V19" s="77">
        <v>0.6235</v>
      </c>
      <c r="W19" s="77">
        <v>0.002</v>
      </c>
      <c r="X19" s="77">
        <v>0.002</v>
      </c>
      <c r="Y19" s="77">
        <v>3.574</v>
      </c>
      <c r="Z19" s="77">
        <v>0.1931</v>
      </c>
      <c r="AA19" s="77">
        <v>0.1581</v>
      </c>
      <c r="AE19" s="49">
        <f t="shared" si="0"/>
        <v>0.2142857142857143</v>
      </c>
      <c r="AF19" s="49">
        <f t="shared" si="1"/>
        <v>0.07272727272727272</v>
      </c>
      <c r="AG19" s="49">
        <f t="shared" si="2"/>
        <v>9.21111111111111</v>
      </c>
      <c r="AH19" s="49">
        <f t="shared" si="3"/>
        <v>333.42857142857144</v>
      </c>
      <c r="AI19" s="49">
        <f t="shared" si="4"/>
        <v>0.7142857142857143</v>
      </c>
      <c r="AJ19" s="49">
        <f t="shared" si="5"/>
        <v>1.7857142857142858</v>
      </c>
      <c r="AK19" s="49">
        <f t="shared" si="6"/>
        <v>0.6</v>
      </c>
      <c r="AL19" s="49">
        <f t="shared" si="7"/>
        <v>5.517948717948718</v>
      </c>
      <c r="AM19" s="49">
        <f t="shared" si="8"/>
        <v>32.279999999999994</v>
      </c>
      <c r="AN19" s="49">
        <f t="shared" si="9"/>
        <v>28.9</v>
      </c>
      <c r="AO19" s="49">
        <f t="shared" si="10"/>
        <v>110.08695652173914</v>
      </c>
      <c r="AP19" s="49">
        <f t="shared" si="11"/>
        <v>32.76875</v>
      </c>
      <c r="AQ19" s="49">
        <f t="shared" si="12"/>
        <v>77.62857142857143</v>
      </c>
      <c r="AR19" s="100">
        <f t="shared" si="27"/>
        <v>0.27542287033381685</v>
      </c>
      <c r="AS19" s="49">
        <f t="shared" si="13"/>
        <v>4.838709677419355</v>
      </c>
      <c r="AT19" s="49">
        <f t="shared" si="14"/>
        <v>38.96875</v>
      </c>
      <c r="AU19" s="49">
        <f t="shared" si="15"/>
        <v>0.06349206349206349</v>
      </c>
      <c r="AV19" s="49">
        <f t="shared" si="16"/>
        <v>0.061538461538461535</v>
      </c>
      <c r="AW19" s="100">
        <f t="shared" si="17"/>
        <v>13.792857142857143</v>
      </c>
      <c r="AX19" s="100">
        <f t="shared" si="28"/>
        <v>11.292857142857143</v>
      </c>
      <c r="AY19" s="100"/>
      <c r="AZ19" s="100">
        <f t="shared" si="29"/>
        <v>2.5</v>
      </c>
      <c r="BA19" s="79"/>
      <c r="BB19" s="79"/>
      <c r="BC19" s="49">
        <f t="shared" si="18"/>
        <v>177.4991909539736</v>
      </c>
      <c r="BD19" s="49">
        <f t="shared" si="19"/>
        <v>112.18303571428572</v>
      </c>
      <c r="BE19" s="101">
        <f t="shared" si="20"/>
        <v>22.547519049032708</v>
      </c>
      <c r="BF19" s="102">
        <f>(('[2]setup'!$B$13*'[2]setup'!$B$14*'[2]setup'!$B$15)/10^(-R19))*10^6</f>
        <v>43.05204678698854</v>
      </c>
      <c r="BG19" s="103">
        <f t="shared" si="21"/>
        <v>34.29163573281551</v>
      </c>
      <c r="BH19" s="102">
        <f t="shared" si="22"/>
        <v>65.31615523968784</v>
      </c>
      <c r="BI19" s="102">
        <f t="shared" si="23"/>
        <v>177.77461382430738</v>
      </c>
      <c r="BJ19" s="102">
        <f>(AP19+AQ19+AJ19+BG19+BF19)</f>
        <v>189.52671823408977</v>
      </c>
      <c r="BK19" s="30">
        <f t="shared" si="25"/>
        <v>3.1995812114054423</v>
      </c>
      <c r="BL19" s="101"/>
      <c r="BM19" s="49">
        <f>(3*('[2]setup'!$D$19*(10^-R19)^3)+2*('[2]setup'!$D$20*'[2]setup'!$D$19*((10^-R19)^2))+('[2]setup'!$D$21*'[2]setup'!$D$19*10^-R19)+('[2]setup'!$D$19*'[2]setup'!$D$22*(AP19/(10^6*2))*(10^-R19)^3))*10^6</f>
        <v>0.00029683993392992083</v>
      </c>
      <c r="BN19" s="100">
        <f>(AM19+AN19+AO19+AL19+AI19+(10^-R19)*10^6+BM19)-(AP19+AQ19+AJ19+BF19)</f>
        <v>22.53982816296704</v>
      </c>
      <c r="BO19" s="102">
        <f>(BN19/((('[2]setup'!$C$26)/10^-R19)+2*(('[2]setup'!$C$26*'[2]setup'!$C$27)/(10^-R19^2))+3*(('[2]setup'!$C$26*'[2]setup'!$C$27*'[2]setup'!$C$28)/(10^-R19^3))))/(10^-R19^3/(10^-R19^3+'[2]setup'!$C$26*10^-R19^2+'[2]setup'!$C$26*'[2]setup'!$C$27*10^-R19+'[2]setup'!$C$26*'[2]setup'!$C$27*'[2]setup'!$C$28))</f>
        <v>8.83503070533303</v>
      </c>
      <c r="BQ19" s="111">
        <f t="shared" si="30"/>
        <v>177.49919095397357</v>
      </c>
      <c r="BR19" s="111">
        <f t="shared" si="31"/>
        <v>112.18303571428572</v>
      </c>
      <c r="BS19" s="111">
        <f t="shared" si="32"/>
        <v>1.5822284521345886</v>
      </c>
      <c r="BT19" s="111">
        <f t="shared" si="33"/>
        <v>64.60186952540215</v>
      </c>
      <c r="BU19" s="111">
        <f t="shared" si="34"/>
        <v>1.4181242098862237</v>
      </c>
    </row>
    <row r="20" spans="1:73" ht="12.75">
      <c r="A20" s="54">
        <v>38530</v>
      </c>
      <c r="B20" s="2" t="s">
        <v>46</v>
      </c>
      <c r="C20">
        <v>831644</v>
      </c>
      <c r="E20" s="77">
        <v>0.006</v>
      </c>
      <c r="F20" s="77">
        <v>0.0022</v>
      </c>
      <c r="G20" s="77">
        <v>0.0203</v>
      </c>
      <c r="H20" s="77">
        <v>2.814</v>
      </c>
      <c r="I20" s="77">
        <v>0.0133</v>
      </c>
      <c r="J20" s="77">
        <v>0.02548</v>
      </c>
      <c r="K20" s="77">
        <v>0.005</v>
      </c>
      <c r="L20" s="77">
        <v>0.2706</v>
      </c>
      <c r="M20" s="77">
        <v>0.639</v>
      </c>
      <c r="N20" s="77">
        <v>0.3328</v>
      </c>
      <c r="O20" s="77">
        <v>2.575</v>
      </c>
      <c r="P20" s="77">
        <v>0.7057</v>
      </c>
      <c r="Q20" s="77">
        <v>2.513</v>
      </c>
      <c r="R20" s="77">
        <v>6.73</v>
      </c>
      <c r="S20" s="77">
        <v>21.5</v>
      </c>
      <c r="T20" s="77">
        <v>23.92</v>
      </c>
      <c r="U20" s="77">
        <v>0.05</v>
      </c>
      <c r="V20" s="77">
        <v>0.8104</v>
      </c>
      <c r="W20" s="77">
        <v>0.002</v>
      </c>
      <c r="X20" s="77">
        <v>0.0059</v>
      </c>
      <c r="Y20" s="77">
        <v>1.039</v>
      </c>
      <c r="Z20" s="77">
        <v>0.1847</v>
      </c>
      <c r="AA20" s="77">
        <v>0.14592</v>
      </c>
      <c r="AE20" s="49">
        <f t="shared" si="0"/>
        <v>0.2142857142857143</v>
      </c>
      <c r="AF20" s="49">
        <f t="shared" si="1"/>
        <v>0.08</v>
      </c>
      <c r="AG20" s="49">
        <f t="shared" si="2"/>
        <v>2.2555555555555555</v>
      </c>
      <c r="AH20" s="49">
        <f t="shared" si="3"/>
        <v>402</v>
      </c>
      <c r="AI20" s="49">
        <f t="shared" si="4"/>
        <v>0.95</v>
      </c>
      <c r="AJ20" s="49">
        <f t="shared" si="5"/>
        <v>1.82</v>
      </c>
      <c r="AK20" s="49">
        <f t="shared" si="6"/>
        <v>0.4838709677419355</v>
      </c>
      <c r="AL20" s="49">
        <f t="shared" si="7"/>
        <v>6.938461538461539</v>
      </c>
      <c r="AM20" s="49">
        <f t="shared" si="8"/>
        <v>31.95</v>
      </c>
      <c r="AN20" s="49">
        <f t="shared" si="9"/>
        <v>27.73333333333333</v>
      </c>
      <c r="AO20" s="49">
        <f t="shared" si="10"/>
        <v>111.95652173913044</v>
      </c>
      <c r="AP20" s="49">
        <f t="shared" si="11"/>
        <v>44.10625</v>
      </c>
      <c r="AQ20" s="49">
        <f t="shared" si="12"/>
        <v>71.8</v>
      </c>
      <c r="AR20" s="100">
        <f t="shared" si="27"/>
        <v>0.18620871366628652</v>
      </c>
      <c r="AS20" s="49">
        <f t="shared" si="13"/>
        <v>4.838709677419355</v>
      </c>
      <c r="AT20" s="49">
        <f t="shared" si="14"/>
        <v>50.65</v>
      </c>
      <c r="AU20" s="49">
        <f t="shared" si="15"/>
        <v>0.06349206349206349</v>
      </c>
      <c r="AV20" s="49">
        <f t="shared" si="16"/>
        <v>0.18153846153846154</v>
      </c>
      <c r="AW20" s="100">
        <f t="shared" si="17"/>
        <v>13.192857142857143</v>
      </c>
      <c r="AX20" s="100">
        <f t="shared" si="28"/>
        <v>10.422857142857143</v>
      </c>
      <c r="AY20" s="100"/>
      <c r="AZ20" s="100">
        <f t="shared" si="29"/>
        <v>2.77</v>
      </c>
      <c r="BA20" s="79"/>
      <c r="BB20" s="79"/>
      <c r="BC20" s="49">
        <f t="shared" si="18"/>
        <v>179.5283166109253</v>
      </c>
      <c r="BD20" s="49">
        <f t="shared" si="19"/>
        <v>117.72625</v>
      </c>
      <c r="BE20" s="101">
        <f t="shared" si="20"/>
        <v>20.79095615436504</v>
      </c>
      <c r="BF20" s="102">
        <f>(('[2]setup'!$B$13*'[2]setup'!$B$14*'[2]setup'!$B$15)/10^(-R20))*10^6</f>
        <v>63.67864353044501</v>
      </c>
      <c r="BG20" s="103">
        <f t="shared" si="21"/>
        <v>10.056553570509015</v>
      </c>
      <c r="BH20" s="102">
        <f t="shared" si="22"/>
        <v>61.802066610925294</v>
      </c>
      <c r="BI20" s="102">
        <f t="shared" si="23"/>
        <v>179.71452532459156</v>
      </c>
      <c r="BJ20" s="102">
        <f>(AP20+AQ20+AJ20+BG20+BF20)</f>
        <v>191.46144710095402</v>
      </c>
      <c r="BK20" s="30">
        <f t="shared" si="25"/>
        <v>3.1647850747447768</v>
      </c>
      <c r="BL20" s="101"/>
      <c r="BM20" s="49">
        <f>(3*('[2]setup'!$D$19*(10^-R20)^3)+2*('[2]setup'!$D$20*'[2]setup'!$D$19*((10^-R20)^2))+('[2]setup'!$D$21*'[2]setup'!$D$19*10^-R20)+('[2]setup'!$D$19*'[2]setup'!$D$22*(AP20/(10^6*2))*(10^-R20)^3))*10^6</f>
        <v>0.0001876627909878114</v>
      </c>
      <c r="BN20" s="100">
        <f>(AM20+AN20+AO20+AL20+AI20+(10^-R20)*10^6+BM20)-(AP20+AQ20+AJ20+BF20)</f>
        <v>-1.6901805430624677</v>
      </c>
      <c r="BO20" s="102">
        <f>(BN20/((('[2]setup'!$C$26)/10^-R20)+2*(('[2]setup'!$C$26*'[2]setup'!$C$27)/(10^-R20^2))+3*(('[2]setup'!$C$26*'[2]setup'!$C$27*'[2]setup'!$C$28)/(10^-R20^3))))/(10^-R20^3/(10^-R20^3+'[2]setup'!$C$26*10^-R20^2+'[2]setup'!$C$26*'[2]setup'!$C$27*10^-R20+'[2]setup'!$C$26*'[2]setup'!$C$27*'[2]setup'!$C$28))</f>
        <v>-0.6384940942647058</v>
      </c>
      <c r="BQ20" s="111">
        <f t="shared" si="30"/>
        <v>179.5283166109253</v>
      </c>
      <c r="BR20" s="111">
        <f t="shared" si="31"/>
        <v>117.72625</v>
      </c>
      <c r="BS20" s="111">
        <f t="shared" si="32"/>
        <v>1.5249641996659649</v>
      </c>
      <c r="BT20" s="111">
        <f t="shared" si="33"/>
        <v>60.852066610925306</v>
      </c>
      <c r="BU20" s="111">
        <f t="shared" si="34"/>
        <v>1.5592830325784184</v>
      </c>
    </row>
    <row r="21" spans="1:73" ht="12.75">
      <c r="A21" s="54">
        <v>38540</v>
      </c>
      <c r="B21" s="2" t="s">
        <v>46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100"/>
      <c r="AS21" s="49"/>
      <c r="AT21" s="49"/>
      <c r="AU21" s="49"/>
      <c r="AV21" s="49"/>
      <c r="AW21" s="100"/>
      <c r="AX21" s="100"/>
      <c r="AY21" s="100"/>
      <c r="AZ21" s="100"/>
      <c r="BA21" s="79"/>
      <c r="BB21" s="79"/>
      <c r="BC21" s="49"/>
      <c r="BD21" s="49"/>
      <c r="BE21" s="101"/>
      <c r="BF21" s="102"/>
      <c r="BG21" s="103"/>
      <c r="BH21" s="102"/>
      <c r="BI21" s="102"/>
      <c r="BJ21" s="102"/>
      <c r="BK21" s="30"/>
      <c r="BL21" s="101"/>
      <c r="BM21" s="49"/>
      <c r="BN21" s="100"/>
      <c r="BO21" s="102"/>
      <c r="BQ21" s="111"/>
      <c r="BR21" s="111"/>
      <c r="BS21" s="111"/>
      <c r="BT21" s="111"/>
      <c r="BU21" s="111"/>
    </row>
    <row r="22" spans="1:73" ht="12.75">
      <c r="A22" s="54">
        <v>38559</v>
      </c>
      <c r="B22" s="2" t="s">
        <v>46</v>
      </c>
      <c r="C22">
        <v>835351</v>
      </c>
      <c r="E22" s="77">
        <v>0.006</v>
      </c>
      <c r="F22" s="77">
        <v>0.002</v>
      </c>
      <c r="G22" s="77">
        <v>0.02</v>
      </c>
      <c r="H22" s="77">
        <v>3.101</v>
      </c>
      <c r="I22" s="77">
        <v>0.0224</v>
      </c>
      <c r="J22" s="77">
        <v>0.05657</v>
      </c>
      <c r="K22" s="77">
        <v>0.005</v>
      </c>
      <c r="L22" s="77">
        <v>0.2431</v>
      </c>
      <c r="M22" s="77">
        <v>0.6907</v>
      </c>
      <c r="N22" s="77">
        <v>0.2852</v>
      </c>
      <c r="O22" s="77">
        <v>2.792</v>
      </c>
      <c r="P22" s="77">
        <v>0.7496</v>
      </c>
      <c r="Q22" s="77">
        <v>2.732</v>
      </c>
      <c r="R22" s="77">
        <v>6.79</v>
      </c>
      <c r="S22" s="77">
        <v>20.6</v>
      </c>
      <c r="T22" s="77">
        <v>24.585</v>
      </c>
      <c r="U22" s="77">
        <v>0.05</v>
      </c>
      <c r="V22" s="77">
        <v>0.8507</v>
      </c>
      <c r="W22" s="77">
        <v>0.002</v>
      </c>
      <c r="X22" s="77">
        <v>0.002</v>
      </c>
      <c r="Y22" s="77">
        <v>0.7929</v>
      </c>
      <c r="Z22" s="77">
        <v>0.129</v>
      </c>
      <c r="AA22" s="77">
        <v>0.050030000000000005</v>
      </c>
      <c r="AE22" s="49">
        <f t="shared" si="0"/>
        <v>0.2142857142857143</v>
      </c>
      <c r="AF22" s="49">
        <f t="shared" si="1"/>
        <v>0.07272727272727272</v>
      </c>
      <c r="AG22" s="49">
        <f t="shared" si="2"/>
        <v>2.2222222222222223</v>
      </c>
      <c r="AH22" s="49">
        <f t="shared" si="3"/>
        <v>443</v>
      </c>
      <c r="AI22" s="49">
        <f t="shared" si="4"/>
        <v>1.6</v>
      </c>
      <c r="AJ22" s="49">
        <f t="shared" si="5"/>
        <v>4.0407142857142855</v>
      </c>
      <c r="AK22" s="49">
        <f t="shared" si="6"/>
        <v>0.4838709677419355</v>
      </c>
      <c r="AL22" s="49">
        <f t="shared" si="7"/>
        <v>6.233333333333333</v>
      </c>
      <c r="AM22" s="49">
        <f t="shared" si="8"/>
        <v>34.535</v>
      </c>
      <c r="AN22" s="49">
        <f t="shared" si="9"/>
        <v>23.76666666666667</v>
      </c>
      <c r="AO22" s="49">
        <f t="shared" si="10"/>
        <v>121.39130434782608</v>
      </c>
      <c r="AP22" s="49">
        <f t="shared" si="11"/>
        <v>46.85</v>
      </c>
      <c r="AQ22" s="49">
        <f t="shared" si="12"/>
        <v>78.05714285714286</v>
      </c>
      <c r="AR22" s="100">
        <f t="shared" si="27"/>
        <v>0.16218100973589297</v>
      </c>
      <c r="AS22" s="49">
        <f t="shared" si="13"/>
        <v>4.838709677419355</v>
      </c>
      <c r="AT22" s="49">
        <f t="shared" si="14"/>
        <v>53.16875</v>
      </c>
      <c r="AU22" s="49">
        <f t="shared" si="15"/>
        <v>0.06349206349206349</v>
      </c>
      <c r="AV22" s="49">
        <f t="shared" si="16"/>
        <v>0.061538461538461535</v>
      </c>
      <c r="AW22" s="100">
        <f t="shared" si="17"/>
        <v>9.214285714285715</v>
      </c>
      <c r="AX22" s="100">
        <f t="shared" si="28"/>
        <v>3.57357142857143</v>
      </c>
      <c r="AY22" s="100"/>
      <c r="AZ22" s="100">
        <f t="shared" si="29"/>
        <v>5.640714285714285</v>
      </c>
      <c r="BA22" s="79"/>
      <c r="BB22" s="79"/>
      <c r="BC22" s="49">
        <f t="shared" si="18"/>
        <v>187.52630434782608</v>
      </c>
      <c r="BD22" s="49">
        <f t="shared" si="19"/>
        <v>128.94785714285715</v>
      </c>
      <c r="BE22" s="101">
        <f t="shared" si="20"/>
        <v>18.509709269485953</v>
      </c>
      <c r="BF22" s="102">
        <f>(('[2]setup'!$B$13*'[2]setup'!$B$14*'[2]setup'!$B$15)/10^(-R22))*10^6</f>
        <v>73.1128651814893</v>
      </c>
      <c r="BG22" s="103">
        <f t="shared" si="21"/>
        <v>7.695035101671064</v>
      </c>
      <c r="BH22" s="102">
        <f t="shared" si="22"/>
        <v>58.57844720496891</v>
      </c>
      <c r="BI22" s="102">
        <f t="shared" si="23"/>
        <v>187.68848535756194</v>
      </c>
      <c r="BJ22" s="102">
        <f aca="true" t="shared" si="35" ref="BJ22:BJ31">(AP22+AQ22+AJ22+BG22+BF22)</f>
        <v>209.7557574260175</v>
      </c>
      <c r="BK22" s="30">
        <f t="shared" si="25"/>
        <v>5.552293804510302</v>
      </c>
      <c r="BL22" s="101"/>
      <c r="BM22" s="49">
        <f>(3*('[2]setup'!$D$19*(10^-R22)^3)+2*('[2]setup'!$D$20*'[2]setup'!$D$19*((10^-R22)^2))+('[2]setup'!$D$21*'[2]setup'!$D$19*10^-R22)+('[2]setup'!$D$19*'[2]setup'!$D$22*(AP22/(10^6*2))*(10^-R22)^3))*10^6</f>
        <v>0.00016052411236586574</v>
      </c>
      <c r="BN22" s="100">
        <f aca="true" t="shared" si="36" ref="BN22:BN31">(AM22+AN22+AO22+AL22+AI22+(10^-R22)*10^6+BM22)-(AP22+AQ22+AJ22+BF22)</f>
        <v>-14.372076442672125</v>
      </c>
      <c r="BO22" s="102">
        <f>(BN22/((('[2]setup'!$C$26)/10^-R22)+2*(('[2]setup'!$C$26*'[2]setup'!$C$27)/(10^-R22^2))+3*(('[2]setup'!$C$26*'[2]setup'!$C$27*'[2]setup'!$C$28)/(10^-R22^3))))/(10^-R22^3/(10^-R22^3+'[2]setup'!$C$26*10^-R22^2+'[2]setup'!$C$26*'[2]setup'!$C$27*10^-R22+'[2]setup'!$C$26*'[2]setup'!$C$27*'[2]setup'!$C$28))</f>
        <v>-5.365690619211137</v>
      </c>
      <c r="BQ22" s="111">
        <f t="shared" si="30"/>
        <v>187.52630434782608</v>
      </c>
      <c r="BR22" s="111">
        <f t="shared" si="31"/>
        <v>128.94785714285715</v>
      </c>
      <c r="BS22" s="111">
        <f t="shared" si="32"/>
        <v>1.4542801137057422</v>
      </c>
      <c r="BT22" s="111">
        <f t="shared" si="33"/>
        <v>56.978447204968944</v>
      </c>
      <c r="BU22" s="111">
        <f t="shared" si="34"/>
        <v>1.555159462728372</v>
      </c>
    </row>
    <row r="23" spans="1:73" ht="12.75">
      <c r="A23" s="54">
        <v>38587</v>
      </c>
      <c r="B23" s="2" t="s">
        <v>46</v>
      </c>
      <c r="C23">
        <v>837302</v>
      </c>
      <c r="E23" s="77">
        <v>0.006</v>
      </c>
      <c r="F23" s="77">
        <v>0.002</v>
      </c>
      <c r="G23" s="77">
        <v>0.0265</v>
      </c>
      <c r="H23" s="77">
        <v>3.093</v>
      </c>
      <c r="I23" s="77">
        <v>0.0803</v>
      </c>
      <c r="J23" s="77">
        <v>0.025</v>
      </c>
      <c r="K23" s="77">
        <v>0.005</v>
      </c>
      <c r="L23" s="77">
        <v>0.1181</v>
      </c>
      <c r="M23" s="77">
        <v>0.6614</v>
      </c>
      <c r="N23" s="77">
        <v>0.335</v>
      </c>
      <c r="O23" s="77">
        <v>2.676</v>
      </c>
      <c r="P23" s="77">
        <v>0.7094</v>
      </c>
      <c r="Q23" s="77">
        <v>2.491</v>
      </c>
      <c r="R23" s="77">
        <v>6.65</v>
      </c>
      <c r="S23" s="77">
        <v>20.4</v>
      </c>
      <c r="T23" s="77">
        <v>24.522</v>
      </c>
      <c r="U23" s="77">
        <v>0.05</v>
      </c>
      <c r="V23" s="77">
        <v>0.7535</v>
      </c>
      <c r="W23" s="77">
        <v>0.0028</v>
      </c>
      <c r="X23" s="77">
        <v>0.002</v>
      </c>
      <c r="Y23" s="77">
        <v>1.2</v>
      </c>
      <c r="Z23" s="77">
        <v>0.06153</v>
      </c>
      <c r="AA23" s="77">
        <v>-0.04377</v>
      </c>
      <c r="AE23" s="49">
        <f t="shared" si="0"/>
        <v>0.2142857142857143</v>
      </c>
      <c r="AF23" s="49">
        <f t="shared" si="1"/>
        <v>0.07272727272727272</v>
      </c>
      <c r="AG23" s="49">
        <f t="shared" si="2"/>
        <v>2.9444444444444438</v>
      </c>
      <c r="AH23" s="49">
        <f t="shared" si="3"/>
        <v>441.85714285714283</v>
      </c>
      <c r="AI23" s="49">
        <f t="shared" si="4"/>
        <v>5.735714285714286</v>
      </c>
      <c r="AJ23" s="49">
        <f t="shared" si="5"/>
        <v>1.7857142857142858</v>
      </c>
      <c r="AK23" s="49">
        <f t="shared" si="6"/>
        <v>0.4838709677419355</v>
      </c>
      <c r="AL23" s="49">
        <f t="shared" si="7"/>
        <v>3.0282051282051285</v>
      </c>
      <c r="AM23" s="49">
        <f t="shared" si="8"/>
        <v>33.07</v>
      </c>
      <c r="AN23" s="49">
        <f t="shared" si="9"/>
        <v>27.916666666666668</v>
      </c>
      <c r="AO23" s="49">
        <f t="shared" si="10"/>
        <v>116.34782608695653</v>
      </c>
      <c r="AP23" s="49">
        <f t="shared" si="11"/>
        <v>44.3375</v>
      </c>
      <c r="AQ23" s="49">
        <f t="shared" si="12"/>
        <v>71.17142857142858</v>
      </c>
      <c r="AR23" s="100">
        <f t="shared" si="27"/>
        <v>0.22387211385683375</v>
      </c>
      <c r="AS23" s="49">
        <f t="shared" si="13"/>
        <v>4.838709677419355</v>
      </c>
      <c r="AT23" s="49">
        <f t="shared" si="14"/>
        <v>47.09375</v>
      </c>
      <c r="AU23" s="49">
        <f t="shared" si="15"/>
        <v>0.08888888888888889</v>
      </c>
      <c r="AV23" s="49">
        <f t="shared" si="16"/>
        <v>0.061538461538461535</v>
      </c>
      <c r="AW23" s="100">
        <f t="shared" si="17"/>
        <v>4.3950000000000005</v>
      </c>
      <c r="AX23" s="100">
        <f t="shared" si="28"/>
        <v>-3.126428571428571</v>
      </c>
      <c r="AY23" s="100"/>
      <c r="AZ23" s="100">
        <f t="shared" si="29"/>
        <v>7.521428571428571</v>
      </c>
      <c r="BA23" s="79"/>
      <c r="BB23" s="79"/>
      <c r="BC23" s="49">
        <f t="shared" si="18"/>
        <v>186.09841216754262</v>
      </c>
      <c r="BD23" s="49">
        <f t="shared" si="19"/>
        <v>117.29464285714286</v>
      </c>
      <c r="BE23" s="101">
        <f t="shared" si="20"/>
        <v>22.678096340999485</v>
      </c>
      <c r="BF23" s="102">
        <f>(('[2]setup'!$B$13*'[2]setup'!$B$14*'[2]setup'!$B$15)/10^(-R23))*10^6</f>
        <v>52.96558868158559</v>
      </c>
      <c r="BG23" s="103">
        <f t="shared" si="21"/>
        <v>11.569821062796008</v>
      </c>
      <c r="BH23" s="102">
        <f t="shared" si="22"/>
        <v>68.80376931039972</v>
      </c>
      <c r="BI23" s="102">
        <f t="shared" si="23"/>
        <v>186.32228428139942</v>
      </c>
      <c r="BJ23" s="102">
        <f t="shared" si="35"/>
        <v>181.83005260152447</v>
      </c>
      <c r="BK23" s="30">
        <f t="shared" si="25"/>
        <v>1.2202100135801994</v>
      </c>
      <c r="BL23" s="101"/>
      <c r="BM23" s="49">
        <f>(3*('[2]setup'!$D$19*(10^-R23)^3)+2*('[2]setup'!$D$20*'[2]setup'!$D$19*((10^-R23)^2))+('[2]setup'!$D$21*'[2]setup'!$D$19*10^-R23)+('[2]setup'!$D$19*'[2]setup'!$D$22*(AP23/(10^6*2))*(10^-R23)^3))*10^6</f>
        <v>0.00023210385350456064</v>
      </c>
      <c r="BN23" s="100">
        <f t="shared" si="36"/>
        <v>16.06228484652445</v>
      </c>
      <c r="BO23" s="102">
        <f>(BN23/((('[2]setup'!$C$26)/10^-R23)+2*(('[2]setup'!$C$26*'[2]setup'!$C$27)/(10^-R23^2))+3*(('[2]setup'!$C$26*'[2]setup'!$C$27*'[2]setup'!$C$28)/(10^-R23^3))))/(10^-R23^3/(10^-R23^3+'[2]setup'!$C$26*10^-R23^2+'[2]setup'!$C$26*'[2]setup'!$C$27*10^-R23+'[2]setup'!$C$26*'[2]setup'!$C$27*'[2]setup'!$C$28))</f>
        <v>6.170438067980661</v>
      </c>
      <c r="BQ23" s="111">
        <f t="shared" si="30"/>
        <v>186.09841216754262</v>
      </c>
      <c r="BR23" s="111">
        <f t="shared" si="31"/>
        <v>117.29464285714286</v>
      </c>
      <c r="BS23" s="111">
        <f t="shared" si="32"/>
        <v>1.5865891880006677</v>
      </c>
      <c r="BT23" s="111">
        <f t="shared" si="33"/>
        <v>63.068055024685464</v>
      </c>
      <c r="BU23" s="111">
        <f t="shared" si="34"/>
        <v>1.6347546820728536</v>
      </c>
    </row>
    <row r="24" spans="1:73" ht="12.75">
      <c r="A24" s="54">
        <v>38601</v>
      </c>
      <c r="B24" s="2" t="s">
        <v>46</v>
      </c>
      <c r="C24">
        <v>838557</v>
      </c>
      <c r="E24" s="77">
        <v>0.0162</v>
      </c>
      <c r="F24" s="77">
        <v>0.002</v>
      </c>
      <c r="G24" s="77">
        <v>0.0312</v>
      </c>
      <c r="H24" s="77">
        <v>2.802</v>
      </c>
      <c r="I24" s="77">
        <v>0.01</v>
      </c>
      <c r="J24" s="77">
        <v>0.1033</v>
      </c>
      <c r="K24" s="77">
        <v>0.005</v>
      </c>
      <c r="L24" s="77">
        <v>0.1</v>
      </c>
      <c r="M24" s="77">
        <v>0.5678</v>
      </c>
      <c r="N24" s="77">
        <v>0.3245</v>
      </c>
      <c r="O24" s="77">
        <v>2.734</v>
      </c>
      <c r="P24" s="77">
        <v>0.6787</v>
      </c>
      <c r="Q24" s="77">
        <v>3.19</v>
      </c>
      <c r="R24" s="77">
        <v>6.65</v>
      </c>
      <c r="S24" s="77">
        <v>21.7</v>
      </c>
      <c r="T24" s="77">
        <v>23.279</v>
      </c>
      <c r="U24" s="77">
        <v>0.05</v>
      </c>
      <c r="V24" s="77">
        <v>0.7431</v>
      </c>
      <c r="W24" s="77">
        <v>0.002</v>
      </c>
      <c r="X24" s="77">
        <v>0.002</v>
      </c>
      <c r="Y24" s="77">
        <v>1.379</v>
      </c>
      <c r="Z24" s="77">
        <v>0.04</v>
      </c>
      <c r="AA24" s="77">
        <v>-0.0733</v>
      </c>
      <c r="AE24" s="49">
        <f t="shared" si="0"/>
        <v>0.5785714285714285</v>
      </c>
      <c r="AF24" s="49">
        <f t="shared" si="1"/>
        <v>0.07272727272727272</v>
      </c>
      <c r="AG24" s="49">
        <f t="shared" si="2"/>
        <v>3.4666666666666663</v>
      </c>
      <c r="AH24" s="49">
        <f t="shared" si="3"/>
        <v>400.2857142857143</v>
      </c>
      <c r="AI24" s="49">
        <f t="shared" si="4"/>
        <v>0.7142857142857143</v>
      </c>
      <c r="AJ24" s="49">
        <f t="shared" si="5"/>
        <v>7.378571428571429</v>
      </c>
      <c r="AK24" s="49">
        <f t="shared" si="6"/>
        <v>0.4838709677419355</v>
      </c>
      <c r="AL24" s="49">
        <f t="shared" si="7"/>
        <v>2.5641025641025643</v>
      </c>
      <c r="AM24" s="49">
        <f t="shared" si="8"/>
        <v>28.389999999999997</v>
      </c>
      <c r="AN24" s="49">
        <f t="shared" si="9"/>
        <v>27.041666666666668</v>
      </c>
      <c r="AO24" s="49">
        <f t="shared" si="10"/>
        <v>118.86956521739131</v>
      </c>
      <c r="AP24" s="49">
        <f t="shared" si="11"/>
        <v>42.418749999999996</v>
      </c>
      <c r="AQ24" s="49">
        <f t="shared" si="12"/>
        <v>91.14285714285714</v>
      </c>
      <c r="AR24" s="100">
        <f t="shared" si="27"/>
        <v>0.22387211385683375</v>
      </c>
      <c r="AS24" s="49">
        <f t="shared" si="13"/>
        <v>4.838709677419355</v>
      </c>
      <c r="AT24" s="49">
        <f t="shared" si="14"/>
        <v>46.44375</v>
      </c>
      <c r="AU24" s="49">
        <f t="shared" si="15"/>
        <v>0.06349206349206349</v>
      </c>
      <c r="AV24" s="49">
        <f t="shared" si="16"/>
        <v>0.061538461538461535</v>
      </c>
      <c r="AW24" s="100">
        <f t="shared" si="17"/>
        <v>2.857142857142857</v>
      </c>
      <c r="AX24" s="100">
        <f t="shared" si="28"/>
        <v>-5.235714285714286</v>
      </c>
      <c r="AY24" s="100"/>
      <c r="AZ24" s="100">
        <f t="shared" si="29"/>
        <v>8.092857142857143</v>
      </c>
      <c r="BA24" s="79"/>
      <c r="BB24" s="79"/>
      <c r="BC24" s="49">
        <f t="shared" si="18"/>
        <v>177.57962016244625</v>
      </c>
      <c r="BD24" s="49">
        <f t="shared" si="19"/>
        <v>140.94017857142856</v>
      </c>
      <c r="BE24" s="101">
        <f t="shared" si="20"/>
        <v>11.503034265581134</v>
      </c>
      <c r="BF24" s="102">
        <f>(('[2]setup'!$B$13*'[2]setup'!$B$14*'[2]setup'!$B$15)/10^(-R24))*10^6</f>
        <v>52.96558868158559</v>
      </c>
      <c r="BG24" s="103">
        <f t="shared" si="21"/>
        <v>13.295652704663077</v>
      </c>
      <c r="BH24" s="102">
        <f>(AM24+AN24+AO24+AL24+AI24)-(AP24+AQ24+AJ24)</f>
        <v>36.639441591017714</v>
      </c>
      <c r="BI24" s="102">
        <f t="shared" si="23"/>
        <v>177.8034922763031</v>
      </c>
      <c r="BJ24" s="102">
        <f t="shared" si="35"/>
        <v>207.20141995767722</v>
      </c>
      <c r="BK24" s="30">
        <f t="shared" si="25"/>
        <v>7.635727947156168</v>
      </c>
      <c r="BL24" s="101"/>
      <c r="BM24" s="49">
        <f>(3*('[2]setup'!$D$19*(10^-R24)^3)+2*('[2]setup'!$D$20*'[2]setup'!$D$19*((10^-R24)^2))+('[2]setup'!$D$21*'[2]setup'!$D$19*10^-R24)+('[2]setup'!$D$19*'[2]setup'!$D$22*(AP24/(10^6*2))*(10^-R24)^3))*10^6</f>
        <v>0.00023210295936494755</v>
      </c>
      <c r="BN24" s="100">
        <f t="shared" si="36"/>
        <v>-16.102042873751685</v>
      </c>
      <c r="BO24" s="102">
        <f>(BN24/((('[2]setup'!$C$26)/10^-R24)+2*(('[2]setup'!$C$26*'[2]setup'!$C$27)/(10^-R24^2))+3*(('[2]setup'!$C$26*'[2]setup'!$C$27*'[2]setup'!$C$28)/(10^-R24^3))))/(10^-R24^3/(10^-R24^3+'[2]setup'!$C$26*10^-R24^2+'[2]setup'!$C$26*'[2]setup'!$C$27*10^-R24+'[2]setup'!$C$26*'[2]setup'!$C$27*'[2]setup'!$C$28))</f>
        <v>-6.185711389743713</v>
      </c>
      <c r="BQ24" s="111">
        <f t="shared" si="30"/>
        <v>177.57962016244625</v>
      </c>
      <c r="BR24" s="111">
        <f t="shared" si="31"/>
        <v>140.94017857142856</v>
      </c>
      <c r="BS24" s="111">
        <f t="shared" si="32"/>
        <v>1.2599644896323783</v>
      </c>
      <c r="BT24" s="111">
        <f t="shared" si="33"/>
        <v>35.925155876731964</v>
      </c>
      <c r="BU24" s="111">
        <f t="shared" si="34"/>
        <v>1.3042115305983373</v>
      </c>
    </row>
    <row r="25" spans="1:73" ht="12.75">
      <c r="A25" s="54">
        <v>38615</v>
      </c>
      <c r="B25" s="2" t="s">
        <v>46</v>
      </c>
      <c r="C25">
        <v>840765</v>
      </c>
      <c r="E25" s="77">
        <v>0.006</v>
      </c>
      <c r="F25" s="77">
        <v>0.002</v>
      </c>
      <c r="G25" s="77">
        <v>0.0237</v>
      </c>
      <c r="H25" s="77">
        <v>2.957</v>
      </c>
      <c r="I25" s="77">
        <v>0.01</v>
      </c>
      <c r="J25" s="77">
        <v>0.08079</v>
      </c>
      <c r="K25" s="77">
        <v>0.005</v>
      </c>
      <c r="L25" s="77">
        <v>0.1495</v>
      </c>
      <c r="M25" s="77">
        <v>0.6627</v>
      </c>
      <c r="N25" s="77">
        <v>0.3331</v>
      </c>
      <c r="O25" s="77">
        <v>3.062</v>
      </c>
      <c r="P25" s="77">
        <v>0.8916</v>
      </c>
      <c r="Q25" s="77">
        <v>3.2</v>
      </c>
      <c r="R25" s="77">
        <v>6.85</v>
      </c>
      <c r="S25" s="77">
        <v>21.7</v>
      </c>
      <c r="T25" s="77">
        <v>25.522</v>
      </c>
      <c r="U25" s="77">
        <v>0.05</v>
      </c>
      <c r="V25" s="77">
        <v>0.8014</v>
      </c>
      <c r="W25" s="77">
        <v>0.0021</v>
      </c>
      <c r="X25" s="77">
        <v>0.0022</v>
      </c>
      <c r="Y25" s="77">
        <v>1.481</v>
      </c>
      <c r="Z25" s="77">
        <v>0.06752</v>
      </c>
      <c r="AA25" s="77">
        <v>-0.02327</v>
      </c>
      <c r="AE25" s="49">
        <f t="shared" si="0"/>
        <v>0.2142857142857143</v>
      </c>
      <c r="AF25" s="49">
        <f t="shared" si="1"/>
        <v>0.07272727272727272</v>
      </c>
      <c r="AG25" s="49">
        <f t="shared" si="2"/>
        <v>2.6333333333333333</v>
      </c>
      <c r="AH25" s="49">
        <f t="shared" si="3"/>
        <v>422.42857142857144</v>
      </c>
      <c r="AI25" s="49">
        <f t="shared" si="4"/>
        <v>0.7142857142857143</v>
      </c>
      <c r="AJ25" s="49">
        <f t="shared" si="5"/>
        <v>5.770714285714286</v>
      </c>
      <c r="AK25" s="49">
        <f t="shared" si="6"/>
        <v>0.4838709677419355</v>
      </c>
      <c r="AL25" s="49">
        <f t="shared" si="7"/>
        <v>3.833333333333333</v>
      </c>
      <c r="AM25" s="49">
        <f t="shared" si="8"/>
        <v>33.135</v>
      </c>
      <c r="AN25" s="49">
        <f t="shared" si="9"/>
        <v>27.758333333333333</v>
      </c>
      <c r="AO25" s="49">
        <f t="shared" si="10"/>
        <v>133.1304347826087</v>
      </c>
      <c r="AP25" s="49">
        <f t="shared" si="11"/>
        <v>55.724999999999994</v>
      </c>
      <c r="AQ25" s="49">
        <f t="shared" si="12"/>
        <v>91.42857142857143</v>
      </c>
      <c r="AR25" s="100">
        <f t="shared" si="27"/>
        <v>0.1412537544622755</v>
      </c>
      <c r="AS25" s="49">
        <f t="shared" si="13"/>
        <v>4.838709677419355</v>
      </c>
      <c r="AT25" s="49">
        <f t="shared" si="14"/>
        <v>50.0875</v>
      </c>
      <c r="AU25" s="49">
        <f t="shared" si="15"/>
        <v>0.06666666666666665</v>
      </c>
      <c r="AV25" s="49">
        <f t="shared" si="16"/>
        <v>0.06769230769230769</v>
      </c>
      <c r="AW25" s="100">
        <f t="shared" si="17"/>
        <v>4.822857142857143</v>
      </c>
      <c r="AX25" s="100">
        <f t="shared" si="28"/>
        <v>-1.6621428571428574</v>
      </c>
      <c r="AY25" s="100"/>
      <c r="AZ25" s="100">
        <f t="shared" si="29"/>
        <v>6.485</v>
      </c>
      <c r="BA25" s="79"/>
      <c r="BB25" s="79"/>
      <c r="BC25" s="49">
        <f t="shared" si="18"/>
        <v>198.57138716356107</v>
      </c>
      <c r="BD25" s="49">
        <f t="shared" si="19"/>
        <v>152.9242857142857</v>
      </c>
      <c r="BE25" s="101">
        <f t="shared" si="20"/>
        <v>12.986532970816638</v>
      </c>
      <c r="BF25" s="102">
        <f>(('[2]setup'!$B$13*'[2]setup'!$B$14*'[2]setup'!$B$15)/10^(-R25))*10^6</f>
        <v>83.94480093614024</v>
      </c>
      <c r="BG25" s="103">
        <f t="shared" si="21"/>
        <v>14.408539823510587</v>
      </c>
      <c r="BH25" s="102">
        <f t="shared" si="22"/>
        <v>45.64710144927537</v>
      </c>
      <c r="BI25" s="102">
        <f>(AM25+AN25+AO25+AL25+AI25)+((10^-R25)*10^6)</f>
        <v>198.71264091802334</v>
      </c>
      <c r="BJ25" s="102">
        <f t="shared" si="35"/>
        <v>251.27762647393652</v>
      </c>
      <c r="BK25" s="30">
        <f t="shared" si="25"/>
        <v>11.68136054598864</v>
      </c>
      <c r="BL25" s="101"/>
      <c r="BM25" s="49">
        <f>(3*('[2]setup'!$D$19*(10^-R25)^3)+2*('[2]setup'!$D$20*'[2]setup'!$D$19*((10^-R25)^2))+('[2]setup'!$D$21*'[2]setup'!$D$19*10^-R25)+('[2]setup'!$D$19*'[2]setup'!$D$22*(AP25/(10^6*2))*(10^-R25)^3))*10^6</f>
        <v>0.00013763375073439461</v>
      </c>
      <c r="BN25" s="100">
        <f t="shared" si="36"/>
        <v>-38.15630809865186</v>
      </c>
      <c r="BO25" s="102">
        <f>(BN25/((('[2]setup'!$C$26)/10^-R25)+2*(('[2]setup'!$C$26*'[2]setup'!$C$27)/(10^-R25^2))+3*(('[2]setup'!$C$26*'[2]setup'!$C$27*'[2]setup'!$C$28)/(10^-R25^3))))/(10^-R25^3/(10^-R25^3+'[2]setup'!$C$26*10^-R25^2+'[2]setup'!$C$26*'[2]setup'!$C$27*10^-R25+'[2]setup'!$C$26*'[2]setup'!$C$27*'[2]setup'!$C$28))</f>
        <v>-14.088764308142444</v>
      </c>
      <c r="BQ25" s="111">
        <f t="shared" si="30"/>
        <v>198.57138716356107</v>
      </c>
      <c r="BR25" s="111">
        <f t="shared" si="31"/>
        <v>152.9242857142857</v>
      </c>
      <c r="BS25" s="111">
        <f t="shared" si="32"/>
        <v>1.298494782800945</v>
      </c>
      <c r="BT25" s="111">
        <f t="shared" si="33"/>
        <v>44.932815734989646</v>
      </c>
      <c r="BU25" s="111">
        <f t="shared" si="34"/>
        <v>1.4561141304347824</v>
      </c>
    </row>
    <row r="26" spans="1:73" ht="12.75">
      <c r="A26" s="54">
        <v>38643</v>
      </c>
      <c r="B26" s="2" t="s">
        <v>46</v>
      </c>
      <c r="C26">
        <v>841590</v>
      </c>
      <c r="E26" s="77">
        <v>0.006</v>
      </c>
      <c r="F26" s="77">
        <v>0.002</v>
      </c>
      <c r="G26" s="77">
        <v>0.0319</v>
      </c>
      <c r="H26" s="77">
        <v>2.927</v>
      </c>
      <c r="I26" s="77">
        <v>0.01</v>
      </c>
      <c r="J26" s="77">
        <v>0.025</v>
      </c>
      <c r="K26" s="56"/>
      <c r="L26" s="77">
        <v>0.123</v>
      </c>
      <c r="M26" s="77">
        <v>0.4716</v>
      </c>
      <c r="N26" s="77">
        <v>0.2603</v>
      </c>
      <c r="O26" s="77">
        <v>2.849</v>
      </c>
      <c r="P26" s="77">
        <v>0.6808</v>
      </c>
      <c r="Q26" s="77">
        <v>2.843</v>
      </c>
      <c r="R26" s="77">
        <v>6.64</v>
      </c>
      <c r="S26" s="77">
        <v>19.8</v>
      </c>
      <c r="T26" s="77">
        <v>22.469</v>
      </c>
      <c r="U26" s="77">
        <v>0.05</v>
      </c>
      <c r="V26" s="77">
        <v>0.6804</v>
      </c>
      <c r="W26" s="77">
        <v>0.0022</v>
      </c>
      <c r="X26" s="77">
        <v>0.002</v>
      </c>
      <c r="Y26" s="77">
        <v>1.6198378276447294</v>
      </c>
      <c r="Z26" s="77">
        <v>0.09804</v>
      </c>
      <c r="AA26" s="77">
        <v>0.06304</v>
      </c>
      <c r="AE26" s="49">
        <f t="shared" si="0"/>
        <v>0.2142857142857143</v>
      </c>
      <c r="AF26" s="49">
        <f t="shared" si="1"/>
        <v>0.07272727272727272</v>
      </c>
      <c r="AG26" s="49">
        <f t="shared" si="2"/>
        <v>3.5444444444444447</v>
      </c>
      <c r="AH26" s="49">
        <f t="shared" si="3"/>
        <v>418.14285714285717</v>
      </c>
      <c r="AI26" s="49">
        <f t="shared" si="4"/>
        <v>0.7142857142857143</v>
      </c>
      <c r="AJ26" s="49">
        <f t="shared" si="5"/>
        <v>1.7857142857142858</v>
      </c>
      <c r="AK26" s="109"/>
      <c r="AL26" s="49">
        <f t="shared" si="7"/>
        <v>3.1538461538461537</v>
      </c>
      <c r="AM26" s="49">
        <f t="shared" si="8"/>
        <v>23.580000000000002</v>
      </c>
      <c r="AN26" s="49">
        <f t="shared" si="9"/>
        <v>21.691666666666663</v>
      </c>
      <c r="AO26" s="49">
        <f t="shared" si="10"/>
        <v>123.86956521739131</v>
      </c>
      <c r="AP26" s="49">
        <f t="shared" si="11"/>
        <v>42.55</v>
      </c>
      <c r="AQ26" s="49">
        <f t="shared" si="12"/>
        <v>81.22857142857143</v>
      </c>
      <c r="AR26" s="100">
        <f t="shared" si="27"/>
        <v>0.22908676527677743</v>
      </c>
      <c r="AS26" s="49">
        <f t="shared" si="13"/>
        <v>4.838709677419355</v>
      </c>
      <c r="AT26" s="49">
        <f t="shared" si="14"/>
        <v>42.525</v>
      </c>
      <c r="AU26" s="49">
        <f t="shared" si="15"/>
        <v>0.06984126984126986</v>
      </c>
      <c r="AV26" s="49">
        <f t="shared" si="16"/>
        <v>0.061538461538461535</v>
      </c>
      <c r="AW26" s="100">
        <f t="shared" si="17"/>
        <v>7.002857142857144</v>
      </c>
      <c r="AX26" s="100">
        <f t="shared" si="28"/>
        <v>4.502857142857144</v>
      </c>
      <c r="AY26" s="100"/>
      <c r="AZ26" s="100">
        <f t="shared" si="29"/>
        <v>2.5</v>
      </c>
      <c r="BA26" s="79"/>
      <c r="BB26" s="79"/>
      <c r="BC26" s="49">
        <f t="shared" si="18"/>
        <v>173.00936375218987</v>
      </c>
      <c r="BD26" s="49">
        <f>AJ26+AP26+AQ26</f>
        <v>125.56428571428572</v>
      </c>
      <c r="BE26" s="101">
        <f t="shared" si="20"/>
        <v>15.890577793011632</v>
      </c>
      <c r="BF26" s="102">
        <f>(('[2]setup'!$B$13*'[2]setup'!$B$14*'[2]setup'!$B$15)/10^(-R26))*10^6</f>
        <v>51.75994468948116</v>
      </c>
      <c r="BG26" s="103">
        <f t="shared" si="21"/>
        <v>15.609671070630275</v>
      </c>
      <c r="BH26" s="102">
        <f>(AM26+AN26+AO26+AL26+AI26)-(AP26+AQ26+AJ26)</f>
        <v>47.445078037904125</v>
      </c>
      <c r="BI26" s="102">
        <f t="shared" si="23"/>
        <v>173.23845051746662</v>
      </c>
      <c r="BJ26" s="102">
        <f t="shared" si="35"/>
        <v>192.93390147439715</v>
      </c>
      <c r="BK26" s="30">
        <f t="shared" si="25"/>
        <v>5.378737867507855</v>
      </c>
      <c r="BL26" s="101"/>
      <c r="BM26" s="49">
        <f>(3*('[2]setup'!$D$19*(10^-R26)^3)+2*('[2]setup'!$D$20*'[2]setup'!$D$19*((10^-R26)^2))+('[2]setup'!$D$21*'[2]setup'!$D$19*10^-R26)+('[2]setup'!$D$19*'[2]setup'!$D$22*(AP26/(10^6*2))*(10^-R26)^3))*10^6</f>
        <v>0.00023844338877352958</v>
      </c>
      <c r="BN26" s="100">
        <f t="shared" si="36"/>
        <v>-4.085541442911477</v>
      </c>
      <c r="BO26" s="102">
        <f>(BN26/((('[2]setup'!$C$26)/10^-R26)+2*(('[2]setup'!$C$26*'[2]setup'!$C$27)/(10^-R26^2))+3*(('[2]setup'!$C$26*'[2]setup'!$C$27*'[2]setup'!$C$28)/(10^-R26^3))))/(10^-R26^3/(10^-R26^3+'[2]setup'!$C$26*10^-R26^2+'[2]setup'!$C$26*'[2]setup'!$C$27*10^-R26+'[2]setup'!$C$26*'[2]setup'!$C$27*'[2]setup'!$C$28))</f>
        <v>-1.5729078286508793</v>
      </c>
      <c r="BQ26" s="111">
        <f t="shared" si="30"/>
        <v>173.00936375218984</v>
      </c>
      <c r="BR26" s="111">
        <f t="shared" si="31"/>
        <v>125.56428571428572</v>
      </c>
      <c r="BS26" s="111">
        <f t="shared" si="32"/>
        <v>1.3778548794189986</v>
      </c>
      <c r="BT26" s="111">
        <f t="shared" si="33"/>
        <v>46.73079232361843</v>
      </c>
      <c r="BU26" s="111">
        <f t="shared" si="34"/>
        <v>1.5249506797779444</v>
      </c>
    </row>
    <row r="27" spans="1:73" ht="12.75">
      <c r="A27" s="54">
        <v>38657</v>
      </c>
      <c r="B27" s="2" t="s">
        <v>46</v>
      </c>
      <c r="C27">
        <v>843485</v>
      </c>
      <c r="E27" s="77">
        <v>0.0062</v>
      </c>
      <c r="F27" s="77">
        <v>0.002</v>
      </c>
      <c r="G27" s="77">
        <v>0.0527</v>
      </c>
      <c r="H27" s="77">
        <v>2.887</v>
      </c>
      <c r="I27" s="77">
        <v>0.052</v>
      </c>
      <c r="J27" s="77">
        <v>0.04122</v>
      </c>
      <c r="K27" s="77">
        <v>0.005</v>
      </c>
      <c r="L27" s="77">
        <v>0.1594</v>
      </c>
      <c r="M27" s="77">
        <v>0.5479</v>
      </c>
      <c r="N27" s="77">
        <v>0.3195</v>
      </c>
      <c r="O27" s="77">
        <v>2.798</v>
      </c>
      <c r="P27" s="77">
        <v>0.6743</v>
      </c>
      <c r="Q27" s="77">
        <v>2.907</v>
      </c>
      <c r="R27" s="77">
        <v>6.6</v>
      </c>
      <c r="S27" s="77">
        <v>17.7</v>
      </c>
      <c r="T27" s="77">
        <v>23.434</v>
      </c>
      <c r="U27" s="77">
        <v>0.05</v>
      </c>
      <c r="V27" s="77">
        <v>0.6576</v>
      </c>
      <c r="W27" s="77">
        <v>0.002</v>
      </c>
      <c r="X27" s="77">
        <v>0.002</v>
      </c>
      <c r="Y27" s="77">
        <v>1.959</v>
      </c>
      <c r="Z27" s="77">
        <v>0.1721</v>
      </c>
      <c r="AA27" s="77">
        <v>0.07888</v>
      </c>
      <c r="AE27" s="49">
        <f t="shared" si="0"/>
        <v>0.22142857142857142</v>
      </c>
      <c r="AF27" s="49">
        <f t="shared" si="1"/>
        <v>0.07272727272727272</v>
      </c>
      <c r="AG27" s="49">
        <f t="shared" si="2"/>
        <v>5.855555555555555</v>
      </c>
      <c r="AH27" s="49">
        <f t="shared" si="3"/>
        <v>412.42857142857144</v>
      </c>
      <c r="AI27" s="49">
        <f t="shared" si="4"/>
        <v>3.7142857142857144</v>
      </c>
      <c r="AJ27" s="49">
        <f t="shared" si="5"/>
        <v>2.9442857142857144</v>
      </c>
      <c r="AK27" s="49">
        <f t="shared" si="6"/>
        <v>0.4838709677419355</v>
      </c>
      <c r="AL27" s="49">
        <f t="shared" si="7"/>
        <v>4.087179487179487</v>
      </c>
      <c r="AM27" s="49">
        <f t="shared" si="8"/>
        <v>27.395000000000003</v>
      </c>
      <c r="AN27" s="49">
        <f t="shared" si="9"/>
        <v>26.625</v>
      </c>
      <c r="AO27" s="49">
        <f t="shared" si="10"/>
        <v>121.65217391304347</v>
      </c>
      <c r="AP27" s="49">
        <f t="shared" si="11"/>
        <v>42.14375</v>
      </c>
      <c r="AQ27" s="49">
        <f t="shared" si="12"/>
        <v>83.05714285714286</v>
      </c>
      <c r="AR27" s="100">
        <f t="shared" si="27"/>
        <v>0.2511886431509582</v>
      </c>
      <c r="AS27" s="49">
        <f t="shared" si="13"/>
        <v>4.838709677419355</v>
      </c>
      <c r="AT27" s="49">
        <f t="shared" si="14"/>
        <v>41.099999999999994</v>
      </c>
      <c r="AU27" s="49">
        <f t="shared" si="15"/>
        <v>0.06349206349206349</v>
      </c>
      <c r="AV27" s="49">
        <f t="shared" si="16"/>
        <v>0.061538461538461535</v>
      </c>
      <c r="AW27" s="100">
        <f t="shared" si="17"/>
        <v>12.292857142857143</v>
      </c>
      <c r="AX27" s="100">
        <f t="shared" si="28"/>
        <v>5.6342857142857135</v>
      </c>
      <c r="AY27" s="100"/>
      <c r="AZ27" s="100">
        <f t="shared" si="29"/>
        <v>6.658571428571429</v>
      </c>
      <c r="BA27" s="79"/>
      <c r="BB27" s="79"/>
      <c r="BC27" s="49">
        <f t="shared" si="18"/>
        <v>183.47363911450867</v>
      </c>
      <c r="BD27" s="49">
        <f t="shared" si="19"/>
        <v>128.14517857142857</v>
      </c>
      <c r="BE27" s="101">
        <f t="shared" si="20"/>
        <v>17.755173116291868</v>
      </c>
      <c r="BF27" s="102">
        <f>(('[2]setup'!$B$13*'[2]setup'!$B$14*'[2]setup'!$B$15)/10^(-R27))*10^6</f>
        <v>47.205630601269185</v>
      </c>
      <c r="BG27" s="103">
        <f t="shared" si="21"/>
        <v>18.8380383757664</v>
      </c>
      <c r="BH27" s="102">
        <f t="shared" si="22"/>
        <v>55.328460543080126</v>
      </c>
      <c r="BI27" s="102">
        <f t="shared" si="23"/>
        <v>183.72482775765965</v>
      </c>
      <c r="BJ27" s="102">
        <f t="shared" si="35"/>
        <v>194.18884754846414</v>
      </c>
      <c r="BK27" s="30">
        <f t="shared" si="25"/>
        <v>2.768891541786163</v>
      </c>
      <c r="BL27" s="101"/>
      <c r="BM27" s="49">
        <f>(3*('[2]setup'!$D$19*(10^-R27)^3)+2*('[2]setup'!$D$20*'[2]setup'!$D$19*((10^-R27)^2))+('[2]setup'!$D$21*'[2]setup'!$D$19*10^-R27)+('[2]setup'!$D$19*'[2]setup'!$D$22*(AP27/(10^6*2))*(10^-R27)^3))*10^6</f>
        <v>0.0002658340575844402</v>
      </c>
      <c r="BN27" s="100">
        <f t="shared" si="36"/>
        <v>8.374284419019489</v>
      </c>
      <c r="BO27" s="102">
        <f>(BN27/((('[2]setup'!$C$26)/10^-R27)+2*(('[2]setup'!$C$26*'[2]setup'!$C$27)/(10^-R27^2))+3*(('[2]setup'!$C$26*'[2]setup'!$C$27*'[2]setup'!$C$28)/(10^-R27^3))))/(10^-R27^3/(10^-R27^3+'[2]setup'!$C$26*10^-R27^2+'[2]setup'!$C$26*'[2]setup'!$C$27*10^-R27+'[2]setup'!$C$26*'[2]setup'!$C$27*'[2]setup'!$C$28))</f>
        <v>3.2527545941342955</v>
      </c>
      <c r="BQ27" s="111">
        <f t="shared" si="30"/>
        <v>183.47363911450867</v>
      </c>
      <c r="BR27" s="111">
        <f t="shared" si="31"/>
        <v>128.14517857142857</v>
      </c>
      <c r="BS27" s="111">
        <f t="shared" si="32"/>
        <v>1.4317638881141348</v>
      </c>
      <c r="BT27" s="111">
        <f t="shared" si="33"/>
        <v>51.614174828794376</v>
      </c>
      <c r="BU27" s="111">
        <f t="shared" si="34"/>
        <v>1.4646804564693916</v>
      </c>
    </row>
    <row r="28" spans="1:73" ht="12.75">
      <c r="A28" s="54">
        <v>38671</v>
      </c>
      <c r="B28" s="2" t="s">
        <v>46</v>
      </c>
      <c r="C28">
        <v>844736</v>
      </c>
      <c r="E28" s="77">
        <v>0.006</v>
      </c>
      <c r="F28" s="77">
        <v>0.002</v>
      </c>
      <c r="G28" s="77">
        <v>0.0245</v>
      </c>
      <c r="H28" s="77">
        <v>2.913</v>
      </c>
      <c r="I28" s="77">
        <v>0.01</v>
      </c>
      <c r="J28" s="77">
        <v>0.03459</v>
      </c>
      <c r="K28" s="77">
        <v>0.005</v>
      </c>
      <c r="L28" s="77">
        <v>0.1825</v>
      </c>
      <c r="M28" s="77">
        <v>0.4656</v>
      </c>
      <c r="N28" s="77">
        <v>0.3092</v>
      </c>
      <c r="O28" s="77">
        <v>2.663</v>
      </c>
      <c r="P28" s="77">
        <v>0.6931</v>
      </c>
      <c r="Q28" s="77">
        <v>4.258</v>
      </c>
      <c r="R28" s="77">
        <v>6.63</v>
      </c>
      <c r="S28" s="77">
        <v>18.2</v>
      </c>
      <c r="T28" s="77">
        <v>22.482</v>
      </c>
      <c r="U28" s="77">
        <v>0.05</v>
      </c>
      <c r="V28" s="77">
        <v>0.73</v>
      </c>
      <c r="W28" s="77">
        <v>0.002</v>
      </c>
      <c r="X28" s="77">
        <v>0.002</v>
      </c>
      <c r="Y28" s="77">
        <v>1.342</v>
      </c>
      <c r="Z28" s="77">
        <v>0.1624</v>
      </c>
      <c r="AA28" s="77">
        <v>0.11780999999999998</v>
      </c>
      <c r="AE28" s="49">
        <f t="shared" si="0"/>
        <v>0.2142857142857143</v>
      </c>
      <c r="AF28" s="49">
        <f t="shared" si="1"/>
        <v>0.07272727272727272</v>
      </c>
      <c r="AG28" s="49">
        <f t="shared" si="2"/>
        <v>2.7222222222222223</v>
      </c>
      <c r="AH28" s="49">
        <f t="shared" si="3"/>
        <v>416.1428571428571</v>
      </c>
      <c r="AI28" s="49">
        <f t="shared" si="4"/>
        <v>0.7142857142857143</v>
      </c>
      <c r="AJ28" s="49">
        <f t="shared" si="5"/>
        <v>2.4707142857142856</v>
      </c>
      <c r="AK28" s="49">
        <f t="shared" si="6"/>
        <v>0.4838709677419355</v>
      </c>
      <c r="AL28" s="49">
        <f t="shared" si="7"/>
        <v>4.679487179487179</v>
      </c>
      <c r="AM28" s="49">
        <f t="shared" si="8"/>
        <v>23.28</v>
      </c>
      <c r="AN28" s="49">
        <f t="shared" si="9"/>
        <v>25.766666666666662</v>
      </c>
      <c r="AO28" s="49">
        <f t="shared" si="10"/>
        <v>115.78260869565217</v>
      </c>
      <c r="AP28" s="49">
        <f t="shared" si="11"/>
        <v>43.31875</v>
      </c>
      <c r="AQ28" s="49">
        <f t="shared" si="12"/>
        <v>121.65714285714286</v>
      </c>
      <c r="AR28" s="100">
        <f t="shared" si="27"/>
        <v>0.23442288153199223</v>
      </c>
      <c r="AS28" s="49">
        <f t="shared" si="13"/>
        <v>4.838709677419355</v>
      </c>
      <c r="AT28" s="49">
        <f t="shared" si="14"/>
        <v>45.625</v>
      </c>
      <c r="AU28" s="49">
        <f t="shared" si="15"/>
        <v>0.06349206349206349</v>
      </c>
      <c r="AV28" s="49">
        <f t="shared" si="16"/>
        <v>0.061538461538461535</v>
      </c>
      <c r="AW28" s="100">
        <f t="shared" si="17"/>
        <v>11.6</v>
      </c>
      <c r="AX28" s="100">
        <f t="shared" si="28"/>
        <v>8.415</v>
      </c>
      <c r="AY28" s="100"/>
      <c r="AZ28" s="100">
        <f t="shared" si="29"/>
        <v>3.185</v>
      </c>
      <c r="BA28" s="79"/>
      <c r="BB28" s="79"/>
      <c r="BC28" s="49">
        <f t="shared" si="18"/>
        <v>170.22304825609174</v>
      </c>
      <c r="BD28" s="49">
        <f t="shared" si="19"/>
        <v>167.44660714285715</v>
      </c>
      <c r="BE28" s="101">
        <f t="shared" si="20"/>
        <v>0.8222358950064068</v>
      </c>
      <c r="BF28" s="102">
        <f>(('[2]setup'!$B$13*'[2]setup'!$B$14*'[2]setup'!$B$15)/10^(-R28))*10^6</f>
        <v>50.58174450517504</v>
      </c>
      <c r="BG28" s="103">
        <f t="shared" si="21"/>
        <v>12.925541720028543</v>
      </c>
      <c r="BH28" s="102">
        <f t="shared" si="22"/>
        <v>2.776441113234597</v>
      </c>
      <c r="BI28" s="102">
        <f t="shared" si="23"/>
        <v>170.45747113762374</v>
      </c>
      <c r="BJ28" s="102">
        <f t="shared" si="35"/>
        <v>230.95389336806073</v>
      </c>
      <c r="BK28" s="30">
        <f t="shared" si="25"/>
        <v>15.070929121534698</v>
      </c>
      <c r="BL28" s="101"/>
      <c r="BM28" s="49">
        <f>(3*('[2]setup'!$D$19*(10^-R28)^3)+2*('[2]setup'!$D$20*'[2]setup'!$D$19*((10^-R28)^2))+('[2]setup'!$D$21*'[2]setup'!$D$19*10^-R28)+('[2]setup'!$D$19*'[2]setup'!$D$22*(AP28/(10^6*2))*(10^-R28)^3))*10^6</f>
        <v>0.0002449798550144959</v>
      </c>
      <c r="BN28" s="100">
        <f t="shared" si="36"/>
        <v>-47.57063553055343</v>
      </c>
      <c r="BO28" s="102">
        <f>(BN28/((('[2]setup'!$C$26)/10^-R28)+2*(('[2]setup'!$C$26*'[2]setup'!$C$27)/(10^-R28^2))+3*(('[2]setup'!$C$26*'[2]setup'!$C$27*'[2]setup'!$C$28)/(10^-R28^3))))/(10^-R28^3/(10^-R28^3+'[2]setup'!$C$26*10^-R28^2+'[2]setup'!$C$26*'[2]setup'!$C$27*10^-R28+'[2]setup'!$C$26*'[2]setup'!$C$27*'[2]setup'!$C$28))</f>
        <v>-18.354592576943997</v>
      </c>
      <c r="BQ28" s="111">
        <f t="shared" si="30"/>
        <v>170.22304825609172</v>
      </c>
      <c r="BR28" s="111">
        <f t="shared" si="31"/>
        <v>167.44660714285715</v>
      </c>
      <c r="BS28" s="111">
        <f t="shared" si="32"/>
        <v>1.0165810532718997</v>
      </c>
      <c r="BT28" s="111">
        <f t="shared" si="33"/>
        <v>2.0621553989488746</v>
      </c>
      <c r="BU28" s="111">
        <f t="shared" si="34"/>
        <v>0.9517123777237732</v>
      </c>
    </row>
    <row r="29" spans="1:73" ht="12.75">
      <c r="A29" s="54">
        <v>38699</v>
      </c>
      <c r="B29" s="2" t="s">
        <v>46</v>
      </c>
      <c r="C29">
        <v>846908</v>
      </c>
      <c r="E29" s="77">
        <v>0.006</v>
      </c>
      <c r="F29" s="77">
        <v>0.002</v>
      </c>
      <c r="G29" s="77">
        <v>0.0215</v>
      </c>
      <c r="H29" s="77">
        <v>2.865</v>
      </c>
      <c r="I29" s="77">
        <v>0.01</v>
      </c>
      <c r="J29" s="77">
        <v>0.04105</v>
      </c>
      <c r="K29" s="77">
        <v>0.005</v>
      </c>
      <c r="L29" s="77">
        <v>0.2049</v>
      </c>
      <c r="M29" s="77">
        <v>0.4793</v>
      </c>
      <c r="N29" s="77">
        <v>0.3422</v>
      </c>
      <c r="O29" s="77">
        <v>2.882</v>
      </c>
      <c r="P29" s="77">
        <v>0.6686</v>
      </c>
      <c r="Q29" s="77">
        <v>2.939</v>
      </c>
      <c r="R29" s="77">
        <v>6.49</v>
      </c>
      <c r="S29" s="77">
        <v>15.8</v>
      </c>
      <c r="T29" s="77">
        <v>22.485</v>
      </c>
      <c r="U29" s="77">
        <v>0.05</v>
      </c>
      <c r="V29" s="77">
        <v>0.7739</v>
      </c>
      <c r="W29" s="77">
        <v>0.002</v>
      </c>
      <c r="X29" s="77">
        <v>0.002</v>
      </c>
      <c r="Y29" s="77">
        <v>0.8367</v>
      </c>
      <c r="Z29" s="77">
        <v>0.1909</v>
      </c>
      <c r="AA29" s="77">
        <v>0.13984999999999997</v>
      </c>
      <c r="AE29" s="49">
        <f t="shared" si="0"/>
        <v>0.2142857142857143</v>
      </c>
      <c r="AF29" s="49">
        <f t="shared" si="1"/>
        <v>0.07272727272727272</v>
      </c>
      <c r="AG29" s="49">
        <f t="shared" si="2"/>
        <v>2.388888888888889</v>
      </c>
      <c r="AH29" s="49">
        <f t="shared" si="3"/>
        <v>409.28571428571433</v>
      </c>
      <c r="AI29" s="49">
        <f t="shared" si="4"/>
        <v>0.7142857142857143</v>
      </c>
      <c r="AJ29" s="49">
        <f t="shared" si="5"/>
        <v>2.9321428571428574</v>
      </c>
      <c r="AK29" s="49">
        <f t="shared" si="6"/>
        <v>0.4838709677419355</v>
      </c>
      <c r="AL29" s="49">
        <f t="shared" si="7"/>
        <v>5.253846153846154</v>
      </c>
      <c r="AM29" s="49">
        <f t="shared" si="8"/>
        <v>23.965</v>
      </c>
      <c r="AN29" s="49">
        <f t="shared" si="9"/>
        <v>28.516666666666666</v>
      </c>
      <c r="AO29" s="49">
        <f t="shared" si="10"/>
        <v>125.30434782608695</v>
      </c>
      <c r="AP29" s="49">
        <f t="shared" si="11"/>
        <v>41.7875</v>
      </c>
      <c r="AQ29" s="49">
        <f t="shared" si="12"/>
        <v>83.97142857142858</v>
      </c>
      <c r="AR29" s="100">
        <f t="shared" si="27"/>
        <v>0.32359365692962805</v>
      </c>
      <c r="AS29" s="49">
        <f t="shared" si="13"/>
        <v>4.838709677419355</v>
      </c>
      <c r="AT29" s="49">
        <f t="shared" si="14"/>
        <v>48.36875</v>
      </c>
      <c r="AU29" s="49">
        <f t="shared" si="15"/>
        <v>0.06349206349206349</v>
      </c>
      <c r="AV29" s="49">
        <f t="shared" si="16"/>
        <v>0.061538461538461535</v>
      </c>
      <c r="AW29" s="100">
        <f t="shared" si="17"/>
        <v>13.635714285714284</v>
      </c>
      <c r="AX29" s="100">
        <f t="shared" si="28"/>
        <v>9.989285714285712</v>
      </c>
      <c r="AY29" s="100"/>
      <c r="AZ29" s="100">
        <f t="shared" si="29"/>
        <v>3.646428571428572</v>
      </c>
      <c r="BA29" s="79"/>
      <c r="BB29" s="79"/>
      <c r="BC29" s="49">
        <f t="shared" si="18"/>
        <v>183.7541463608855</v>
      </c>
      <c r="BD29" s="49">
        <f t="shared" si="19"/>
        <v>128.69107142857143</v>
      </c>
      <c r="BE29" s="101">
        <f t="shared" si="20"/>
        <v>17.623273392335502</v>
      </c>
      <c r="BF29" s="102">
        <f>(('[2]setup'!$B$13*'[2]setup'!$B$14*'[2]setup'!$B$15)/10^(-R29))*10^6</f>
        <v>36.64323464287438</v>
      </c>
      <c r="BG29" s="103">
        <f t="shared" si="21"/>
        <v>7.994515464366806</v>
      </c>
      <c r="BH29" s="102">
        <f t="shared" si="22"/>
        <v>55.063074932314066</v>
      </c>
      <c r="BI29" s="102">
        <f t="shared" si="23"/>
        <v>184.07774001781513</v>
      </c>
      <c r="BJ29" s="102">
        <f t="shared" si="35"/>
        <v>173.3288215358126</v>
      </c>
      <c r="BK29" s="30">
        <f t="shared" si="25"/>
        <v>3.0074765374417116</v>
      </c>
      <c r="BL29" s="101"/>
      <c r="BM29" s="49">
        <f>(3*('[2]setup'!$D$19*(10^-R29)^3)+2*('[2]setup'!$D$20*'[2]setup'!$D$19*((10^-R29)^2))+('[2]setup'!$D$21*'[2]setup'!$D$19*10^-R29)+('[2]setup'!$D$19*'[2]setup'!$D$22*(AP29/(10^6*2))*(10^-R29)^3))*10^6</f>
        <v>0.00036163961419216693</v>
      </c>
      <c r="BN29" s="100">
        <f t="shared" si="36"/>
        <v>18.74379558598352</v>
      </c>
      <c r="BO29" s="102">
        <f>(BN29/((('[2]setup'!$C$26)/10^-R29)+2*(('[2]setup'!$C$26*'[2]setup'!$C$27)/(10^-R29^2))+3*(('[2]setup'!$C$26*'[2]setup'!$C$27*'[2]setup'!$C$28)/(10^-R29^3))))/(10^-R29^3/(10^-R29^3+'[2]setup'!$C$26*10^-R29^2+'[2]setup'!$C$26*'[2]setup'!$C$27*10^-R29+'[2]setup'!$C$26*'[2]setup'!$C$27*'[2]setup'!$C$28))</f>
        <v>7.468757433021162</v>
      </c>
      <c r="BQ29" s="111">
        <f t="shared" si="30"/>
        <v>183.7541463608855</v>
      </c>
      <c r="BR29" s="111">
        <f t="shared" si="31"/>
        <v>128.69107142857143</v>
      </c>
      <c r="BS29" s="111">
        <f t="shared" si="32"/>
        <v>1.427870203589658</v>
      </c>
      <c r="BT29" s="111">
        <f t="shared" si="33"/>
        <v>54.348789218028344</v>
      </c>
      <c r="BU29" s="111">
        <f t="shared" si="34"/>
        <v>1.4922259863603413</v>
      </c>
    </row>
    <row r="30" spans="1:73" ht="12.75">
      <c r="A30" s="54">
        <v>38727</v>
      </c>
      <c r="B30" s="2" t="s">
        <v>46</v>
      </c>
      <c r="C30">
        <v>847589</v>
      </c>
      <c r="E30" s="77">
        <v>0.006</v>
      </c>
      <c r="F30" s="77">
        <v>0.002</v>
      </c>
      <c r="G30" s="77">
        <v>0.02</v>
      </c>
      <c r="H30" s="77">
        <v>3.393</v>
      </c>
      <c r="I30" s="77">
        <v>0.01</v>
      </c>
      <c r="J30" s="77">
        <v>0.09305</v>
      </c>
      <c r="K30" s="77">
        <v>0.0054</v>
      </c>
      <c r="L30" s="77">
        <v>0.2343</v>
      </c>
      <c r="M30" s="77">
        <v>0.6463</v>
      </c>
      <c r="N30" s="77">
        <v>0.3229</v>
      </c>
      <c r="O30" s="77">
        <v>2.995</v>
      </c>
      <c r="P30" s="77">
        <v>0.7683</v>
      </c>
      <c r="Q30" s="77">
        <v>2.963</v>
      </c>
      <c r="R30" s="77">
        <v>6.71</v>
      </c>
      <c r="S30" s="77">
        <v>18.1</v>
      </c>
      <c r="T30" s="77">
        <v>24.786</v>
      </c>
      <c r="U30" s="77">
        <v>0.05</v>
      </c>
      <c r="V30" s="77">
        <v>0.8568</v>
      </c>
      <c r="W30" s="77">
        <v>0.002</v>
      </c>
      <c r="X30" s="77">
        <v>0.002</v>
      </c>
      <c r="Y30" s="77">
        <v>0.5</v>
      </c>
      <c r="Z30" s="77">
        <v>0.108221857141946</v>
      </c>
      <c r="AA30" s="77">
        <v>0.005171857141946012</v>
      </c>
      <c r="AE30" s="49">
        <f t="shared" si="0"/>
        <v>0.2142857142857143</v>
      </c>
      <c r="AF30" s="49">
        <f t="shared" si="1"/>
        <v>0.07272727272727272</v>
      </c>
      <c r="AG30" s="49">
        <f t="shared" si="2"/>
        <v>2.2222222222222223</v>
      </c>
      <c r="AH30" s="49">
        <f t="shared" si="3"/>
        <v>484.7142857142857</v>
      </c>
      <c r="AI30" s="49">
        <f t="shared" si="4"/>
        <v>0.7142857142857143</v>
      </c>
      <c r="AJ30" s="49">
        <f t="shared" si="5"/>
        <v>6.646428571428571</v>
      </c>
      <c r="AK30" s="49">
        <f t="shared" si="6"/>
        <v>0.5225806451612903</v>
      </c>
      <c r="AL30" s="49">
        <f t="shared" si="7"/>
        <v>6.007692307692308</v>
      </c>
      <c r="AM30" s="49">
        <f t="shared" si="8"/>
        <v>32.315</v>
      </c>
      <c r="AN30" s="49">
        <f t="shared" si="9"/>
        <v>26.908333333333335</v>
      </c>
      <c r="AO30" s="49">
        <f t="shared" si="10"/>
        <v>130.21739130434784</v>
      </c>
      <c r="AP30" s="49">
        <f t="shared" si="11"/>
        <v>48.01875</v>
      </c>
      <c r="AQ30" s="49">
        <f t="shared" si="12"/>
        <v>84.65714285714286</v>
      </c>
      <c r="AR30" s="100">
        <f t="shared" si="27"/>
        <v>0.1949844599758045</v>
      </c>
      <c r="AS30" s="49">
        <f t="shared" si="13"/>
        <v>4.838709677419355</v>
      </c>
      <c r="AT30" s="49">
        <f t="shared" si="14"/>
        <v>53.55</v>
      </c>
      <c r="AU30" s="49">
        <f t="shared" si="15"/>
        <v>0.06349206349206349</v>
      </c>
      <c r="AV30" s="49">
        <f t="shared" si="16"/>
        <v>0.061538461538461535</v>
      </c>
      <c r="AW30" s="100">
        <f t="shared" si="17"/>
        <v>7.730132652996143</v>
      </c>
      <c r="AX30" s="100">
        <f t="shared" si="28"/>
        <v>0.36941836728185695</v>
      </c>
      <c r="AY30" s="100"/>
      <c r="AZ30" s="100">
        <f t="shared" si="29"/>
        <v>7.360714285714286</v>
      </c>
      <c r="BA30" s="79"/>
      <c r="BB30" s="79"/>
      <c r="BC30" s="49">
        <f t="shared" si="18"/>
        <v>196.1627026596592</v>
      </c>
      <c r="BD30" s="49">
        <f t="shared" si="19"/>
        <v>139.32232142857143</v>
      </c>
      <c r="BE30" s="101">
        <f t="shared" si="20"/>
        <v>16.942747708505486</v>
      </c>
      <c r="BF30" s="102">
        <f>(('[2]setup'!$B$13*'[2]setup'!$B$14*'[2]setup'!$B$15)/10^(-R30))*10^6</f>
        <v>60.81263245947677</v>
      </c>
      <c r="BG30" s="103">
        <f t="shared" si="21"/>
        <v>4.835010053595199</v>
      </c>
      <c r="BH30" s="102">
        <f t="shared" si="22"/>
        <v>56.840381231087775</v>
      </c>
      <c r="BI30" s="102">
        <f t="shared" si="23"/>
        <v>196.35768711963502</v>
      </c>
      <c r="BJ30" s="102">
        <f t="shared" si="35"/>
        <v>204.96996394164339</v>
      </c>
      <c r="BK30" s="30">
        <f t="shared" si="25"/>
        <v>2.1459465350154425</v>
      </c>
      <c r="BL30" s="101"/>
      <c r="BM30" s="49">
        <f>(3*('[2]setup'!$D$19*(10^-R30)^3)+2*('[2]setup'!$D$20*'[2]setup'!$D$19*((10^-R30)^2))+('[2]setup'!$D$21*'[2]setup'!$D$19*10^-R30)+('[2]setup'!$D$19*'[2]setup'!$D$22*(AP30/(10^6*2))*(10^-R30)^3))*10^6</f>
        <v>0.00019780909186655412</v>
      </c>
      <c r="BN30" s="100">
        <f t="shared" si="36"/>
        <v>-3.777068959321298</v>
      </c>
      <c r="BO30" s="102">
        <f>(BN30/((('[2]setup'!$C$26)/10^-R30)+2*(('[2]setup'!$C$26*'[2]setup'!$C$27)/(10^-R30^2))+3*(('[2]setup'!$C$26*'[2]setup'!$C$27*'[2]setup'!$C$28)/(10^-R30^3))))/(10^-R30^3/(10^-R30^3+'[2]setup'!$C$26*10^-R30^2+'[2]setup'!$C$26*'[2]setup'!$C$27*10^-R30+'[2]setup'!$C$26*'[2]setup'!$C$27*'[2]setup'!$C$28))</f>
        <v>-1.432690090234612</v>
      </c>
      <c r="BQ30" s="111">
        <f t="shared" si="30"/>
        <v>196.1627026596592</v>
      </c>
      <c r="BR30" s="111">
        <f t="shared" si="31"/>
        <v>139.32232142857143</v>
      </c>
      <c r="BS30" s="111">
        <f t="shared" si="32"/>
        <v>1.4079775634533123</v>
      </c>
      <c r="BT30" s="111">
        <f t="shared" si="33"/>
        <v>56.12609551680205</v>
      </c>
      <c r="BU30" s="111">
        <f t="shared" si="34"/>
        <v>1.5381737076112638</v>
      </c>
    </row>
    <row r="31" spans="1:73" ht="12.75">
      <c r="A31" s="54">
        <v>38755</v>
      </c>
      <c r="B31" s="2" t="s">
        <v>46</v>
      </c>
      <c r="C31">
        <v>850071</v>
      </c>
      <c r="E31" s="77">
        <v>0.006</v>
      </c>
      <c r="F31" s="77">
        <v>0.002</v>
      </c>
      <c r="G31" s="77">
        <v>0.02</v>
      </c>
      <c r="H31" s="77">
        <v>3.22</v>
      </c>
      <c r="I31" s="77">
        <v>0.01</v>
      </c>
      <c r="J31" s="77">
        <v>0.0549</v>
      </c>
      <c r="K31" s="77">
        <v>0.005</v>
      </c>
      <c r="L31" s="77">
        <v>0.1896</v>
      </c>
      <c r="M31" s="77">
        <v>0.6327</v>
      </c>
      <c r="N31" s="77">
        <v>0.2836</v>
      </c>
      <c r="O31" s="77">
        <v>2.874</v>
      </c>
      <c r="P31" s="77">
        <v>0.7369</v>
      </c>
      <c r="Q31" s="77">
        <v>2.856</v>
      </c>
      <c r="R31" s="77">
        <v>6.73</v>
      </c>
      <c r="S31" s="77">
        <v>17.7</v>
      </c>
      <c r="T31" s="77">
        <v>24.596</v>
      </c>
      <c r="U31" s="77">
        <v>0.05</v>
      </c>
      <c r="V31" s="77">
        <v>0.7868</v>
      </c>
      <c r="W31" s="77">
        <v>0.002</v>
      </c>
      <c r="X31" s="77">
        <v>0.002</v>
      </c>
      <c r="Y31" s="77">
        <v>0.6806423542441262</v>
      </c>
      <c r="Z31" s="77">
        <v>0.0692970957036069</v>
      </c>
      <c r="AA31" s="77">
        <v>0.004397095703606899</v>
      </c>
      <c r="AE31" s="49">
        <f t="shared" si="0"/>
        <v>0.2142857142857143</v>
      </c>
      <c r="AF31" s="49">
        <f t="shared" si="1"/>
        <v>0.07272727272727272</v>
      </c>
      <c r="AG31" s="49">
        <f t="shared" si="2"/>
        <v>2.2222222222222223</v>
      </c>
      <c r="AH31" s="49">
        <f t="shared" si="3"/>
        <v>460</v>
      </c>
      <c r="AI31" s="49">
        <f t="shared" si="4"/>
        <v>0.7142857142857143</v>
      </c>
      <c r="AJ31" s="49">
        <f t="shared" si="5"/>
        <v>3.9214285714285713</v>
      </c>
      <c r="AK31" s="49">
        <f t="shared" si="6"/>
        <v>0.4838709677419355</v>
      </c>
      <c r="AL31" s="49">
        <f t="shared" si="7"/>
        <v>4.861538461538461</v>
      </c>
      <c r="AM31" s="49">
        <f t="shared" si="8"/>
        <v>31.635000000000005</v>
      </c>
      <c r="AN31" s="49">
        <f t="shared" si="9"/>
        <v>23.633333333333336</v>
      </c>
      <c r="AO31" s="49">
        <f t="shared" si="10"/>
        <v>124.95652173913044</v>
      </c>
      <c r="AP31" s="49">
        <f t="shared" si="11"/>
        <v>46.05625</v>
      </c>
      <c r="AQ31" s="49">
        <f t="shared" si="12"/>
        <v>81.6</v>
      </c>
      <c r="AR31" s="100">
        <f t="shared" si="27"/>
        <v>0.18620871366628652</v>
      </c>
      <c r="AS31" s="49">
        <f t="shared" si="13"/>
        <v>4.838709677419355</v>
      </c>
      <c r="AT31" s="49">
        <f t="shared" si="14"/>
        <v>49.175000000000004</v>
      </c>
      <c r="AU31" s="49">
        <f t="shared" si="15"/>
        <v>0.06349206349206349</v>
      </c>
      <c r="AV31" s="49">
        <f t="shared" si="16"/>
        <v>0.061538461538461535</v>
      </c>
      <c r="AW31" s="100">
        <f t="shared" si="17"/>
        <v>4.949792550257635</v>
      </c>
      <c r="AX31" s="100">
        <f t="shared" si="28"/>
        <v>0.3140782645433502</v>
      </c>
      <c r="AY31" s="100"/>
      <c r="AZ31" s="100">
        <f t="shared" si="29"/>
        <v>4.635714285714285</v>
      </c>
      <c r="BA31" s="79"/>
      <c r="BB31" s="79"/>
      <c r="BC31" s="49">
        <f t="shared" si="18"/>
        <v>185.80067924828796</v>
      </c>
      <c r="BD31" s="49">
        <f t="shared" si="19"/>
        <v>131.57767857142858</v>
      </c>
      <c r="BE31" s="101">
        <f t="shared" si="20"/>
        <v>17.084656007849215</v>
      </c>
      <c r="BF31" s="102">
        <f>(('[2]setup'!$B$13*'[2]setup'!$B$14*'[2]setup'!$B$15)/10^(-R31))*10^6</f>
        <v>63.67864353044501</v>
      </c>
      <c r="BG31" s="103">
        <f t="shared" si="21"/>
        <v>6.587984887212156</v>
      </c>
      <c r="BH31" s="102">
        <f t="shared" si="22"/>
        <v>54.223000676859385</v>
      </c>
      <c r="BI31" s="102">
        <f t="shared" si="23"/>
        <v>185.98688796195424</v>
      </c>
      <c r="BJ31" s="102">
        <f t="shared" si="35"/>
        <v>201.84430698908574</v>
      </c>
      <c r="BK31" s="30">
        <f t="shared" si="25"/>
        <v>4.088742533754498</v>
      </c>
      <c r="BL31" s="101"/>
      <c r="BM31" s="49">
        <f>(3*('[2]setup'!$D$19*(10^-R31)^3)+2*('[2]setup'!$D$20*'[2]setup'!$D$19*((10^-R31)^2))+('[2]setup'!$D$21*'[2]setup'!$D$19*10^-R31)+('[2]setup'!$D$19*'[2]setup'!$D$22*(AP31/(10^6*2))*(10^-R31)^3))*10^6</f>
        <v>0.00018766331389131818</v>
      </c>
      <c r="BN31" s="100">
        <f t="shared" si="36"/>
        <v>-9.269246476605474</v>
      </c>
      <c r="BO31" s="102">
        <f>(BN31/((('[2]setup'!$C$26)/10^-R31)+2*(('[2]setup'!$C$26*'[2]setup'!$C$27)/(10^-R31^2))+3*(('[2]setup'!$C$26*'[2]setup'!$C$27*'[2]setup'!$C$28)/(10^-R31^3))))/(10^-R31^3/(10^-R31^3+'[2]setup'!$C$26*10^-R31^2+'[2]setup'!$C$26*'[2]setup'!$C$27*10^-R31+'[2]setup'!$C$26*'[2]setup'!$C$27*'[2]setup'!$C$28))</f>
        <v>-3.501613574886473</v>
      </c>
      <c r="BQ31" s="111">
        <f t="shared" si="30"/>
        <v>185.80067924828796</v>
      </c>
      <c r="BR31" s="111">
        <f t="shared" si="31"/>
        <v>131.57767857142858</v>
      </c>
      <c r="BS31" s="111">
        <f t="shared" si="32"/>
        <v>1.4120987789537855</v>
      </c>
      <c r="BT31" s="111">
        <f t="shared" si="33"/>
        <v>53.50871496257366</v>
      </c>
      <c r="BU31" s="111">
        <f t="shared" si="34"/>
        <v>1.5313299232736575</v>
      </c>
    </row>
    <row r="32" spans="1:73" ht="12.75">
      <c r="A32" s="54">
        <v>38810</v>
      </c>
      <c r="B32" s="2" t="s">
        <v>46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00"/>
      <c r="AS32" s="49"/>
      <c r="AT32" s="49"/>
      <c r="AU32" s="49"/>
      <c r="AV32" s="49"/>
      <c r="AW32" s="100"/>
      <c r="AX32" s="100"/>
      <c r="AY32" s="100"/>
      <c r="AZ32" s="100"/>
      <c r="BA32" s="79"/>
      <c r="BB32" s="79"/>
      <c r="BC32" s="49"/>
      <c r="BD32" s="49"/>
      <c r="BE32" s="101"/>
      <c r="BF32" s="102"/>
      <c r="BG32" s="103"/>
      <c r="BH32" s="102"/>
      <c r="BI32" s="102"/>
      <c r="BJ32" s="102"/>
      <c r="BK32" s="30"/>
      <c r="BL32" s="101"/>
      <c r="BM32" s="49"/>
      <c r="BN32" s="100"/>
      <c r="BO32" s="102"/>
      <c r="BQ32" s="111"/>
      <c r="BR32" s="111"/>
      <c r="BS32" s="111"/>
      <c r="BT32" s="111"/>
      <c r="BU32" s="111"/>
    </row>
    <row r="33" spans="1:73" ht="12.75">
      <c r="A33" s="54">
        <v>38826</v>
      </c>
      <c r="B33" s="2" t="s">
        <v>46</v>
      </c>
      <c r="C33" s="2">
        <v>856279</v>
      </c>
      <c r="E33" s="77">
        <v>0.02</v>
      </c>
      <c r="F33" s="77">
        <v>0.002</v>
      </c>
      <c r="G33" s="77">
        <v>0.0417</v>
      </c>
      <c r="H33" s="77">
        <v>2.602</v>
      </c>
      <c r="I33" s="77">
        <v>0.01</v>
      </c>
      <c r="J33" s="77">
        <v>0.025</v>
      </c>
      <c r="K33" s="77">
        <v>0.005</v>
      </c>
      <c r="L33" s="77">
        <v>0.2305</v>
      </c>
      <c r="M33" s="77">
        <v>0.552</v>
      </c>
      <c r="N33" s="77">
        <v>0.2645</v>
      </c>
      <c r="O33" s="77">
        <v>2.629</v>
      </c>
      <c r="P33" s="77">
        <v>0.5545</v>
      </c>
      <c r="Q33" s="77">
        <v>3.01</v>
      </c>
      <c r="R33" s="77">
        <v>6.48</v>
      </c>
      <c r="S33" s="77">
        <v>19.5</v>
      </c>
      <c r="T33" s="77">
        <v>21.919</v>
      </c>
      <c r="U33" s="77">
        <v>0.05</v>
      </c>
      <c r="V33" s="77">
        <v>0.6012</v>
      </c>
      <c r="W33" s="77">
        <v>0.002</v>
      </c>
      <c r="X33" s="77">
        <v>0.002</v>
      </c>
      <c r="Y33" s="77">
        <v>2.082</v>
      </c>
      <c r="Z33" s="77">
        <v>0.07046</v>
      </c>
      <c r="AA33" s="77">
        <v>0.03545999999999999</v>
      </c>
      <c r="AE33" s="49">
        <f t="shared" si="0"/>
        <v>0.7142857142857143</v>
      </c>
      <c r="AF33" s="49">
        <f t="shared" si="1"/>
        <v>0.07272727272727272</v>
      </c>
      <c r="AG33" s="49">
        <f t="shared" si="2"/>
        <v>4.633333333333333</v>
      </c>
      <c r="AH33" s="49">
        <f t="shared" si="3"/>
        <v>371.7142857142857</v>
      </c>
      <c r="AI33" s="49">
        <f t="shared" si="4"/>
        <v>0.7142857142857143</v>
      </c>
      <c r="AJ33" s="49">
        <f t="shared" si="5"/>
        <v>1.7857142857142858</v>
      </c>
      <c r="AK33" s="49">
        <f t="shared" si="6"/>
        <v>0.4838709677419355</v>
      </c>
      <c r="AL33" s="49">
        <f t="shared" si="7"/>
        <v>5.910256410256411</v>
      </c>
      <c r="AM33" s="49">
        <f t="shared" si="8"/>
        <v>27.6</v>
      </c>
      <c r="AN33" s="49">
        <f t="shared" si="9"/>
        <v>22.041666666666668</v>
      </c>
      <c r="AO33" s="49">
        <f t="shared" si="10"/>
        <v>114.30434782608697</v>
      </c>
      <c r="AP33" s="49">
        <f t="shared" si="11"/>
        <v>34.65625</v>
      </c>
      <c r="AQ33" s="49">
        <f t="shared" si="12"/>
        <v>86</v>
      </c>
      <c r="AR33" s="100">
        <f t="shared" si="27"/>
        <v>0.3311311214825907</v>
      </c>
      <c r="AS33" s="49">
        <f t="shared" si="13"/>
        <v>4.838709677419355</v>
      </c>
      <c r="AT33" s="49">
        <f t="shared" si="14"/>
        <v>37.574999999999996</v>
      </c>
      <c r="AU33" s="49">
        <f t="shared" si="15"/>
        <v>0.06349206349206349</v>
      </c>
      <c r="AV33" s="49">
        <f t="shared" si="16"/>
        <v>0.061538461538461535</v>
      </c>
      <c r="AW33" s="100">
        <f t="shared" si="17"/>
        <v>5.032857142857143</v>
      </c>
      <c r="AX33" s="100">
        <f t="shared" si="28"/>
        <v>2.532857142857143</v>
      </c>
      <c r="AY33" s="100"/>
      <c r="AZ33" s="100">
        <f t="shared" si="29"/>
        <v>2.5</v>
      </c>
      <c r="BA33" s="79"/>
      <c r="BB33" s="79"/>
      <c r="BC33" s="49">
        <f t="shared" si="18"/>
        <v>170.57055661729578</v>
      </c>
      <c r="BD33" s="49">
        <f t="shared" si="19"/>
        <v>122.44196428571428</v>
      </c>
      <c r="BE33" s="101">
        <f t="shared" si="20"/>
        <v>16.42543881171294</v>
      </c>
      <c r="BF33" s="102">
        <f>(('[2]setup'!$B$13*'[2]setup'!$B$14*'[2]setup'!$B$15)/10^(-R33))*10^6</f>
        <v>35.80913278923425</v>
      </c>
      <c r="BG33" s="103">
        <f aca="true" t="shared" si="37" ref="BG33:BG52">((10^-(0.96+0.9*R33-0.039*R33^2))*Y33*10)/((10^-(0.96+0.9*R33-0.039*R33^2))+10^(-R33))</f>
        <v>19.880696386822027</v>
      </c>
      <c r="BH33" s="102">
        <f aca="true" t="shared" si="38" ref="BH33:BH52">(AM33+AN33+AO33+AL33+AI33)-(AP33+AQ33+AJ33)</f>
        <v>48.12859233158149</v>
      </c>
      <c r="BI33" s="102">
        <f aca="true" t="shared" si="39" ref="BI33:BI52">(AM33+AN33+AO33+AL33+AI33)+((10^-R33)*10^6)</f>
        <v>170.90168773877838</v>
      </c>
      <c r="BJ33" s="102">
        <f aca="true" t="shared" si="40" ref="BJ33:BJ52">(AP33+AQ33+AJ33+BG33+BF33)</f>
        <v>178.13179346177057</v>
      </c>
      <c r="BK33" s="30">
        <f aca="true" t="shared" si="41" ref="BK33:BK52">ABS(BI33-BJ33)/(BI33+BJ33)*100</f>
        <v>2.071464805646508</v>
      </c>
      <c r="BL33" s="101"/>
      <c r="BM33" s="49">
        <f>(3*('[2]setup'!$D$19*(10^-R33)^3)+2*('[2]setup'!$D$20*'[2]setup'!$D$19*((10^-R33)^2))+('[2]setup'!$D$21*'[2]setup'!$D$19*10^-R33)+('[2]setup'!$D$19*'[2]setup'!$D$22*(AP33/(10^6*2))*(10^-R33)^3))*10^6</f>
        <v>0.00037215583399039746</v>
      </c>
      <c r="BN33" s="100">
        <f aca="true" t="shared" si="42" ref="BN33:BN52">(AM33+AN33+AO33+AL33+AI33+(10^-R33)*10^6+BM33)-(AP33+AQ33+AJ33+BF33)</f>
        <v>12.650962819663818</v>
      </c>
      <c r="BO33" s="102">
        <f>(BN33/((('[2]setup'!$C$26)/10^-R33)+2*(('[2]setup'!$C$26*'[2]setup'!$C$27)/(10^-R33^2))+3*(('[2]setup'!$C$26*'[2]setup'!$C$27*'[2]setup'!$C$28)/(10^-R33^3))))/(10^-R33^3/(10^-R33^3+'[2]setup'!$C$26*10^-R33^2+'[2]setup'!$C$26*'[2]setup'!$C$27*10^-R33+'[2]setup'!$C$26*'[2]setup'!$C$27*'[2]setup'!$C$28))</f>
        <v>5.053036556919358</v>
      </c>
      <c r="BQ33" s="111">
        <f t="shared" si="30"/>
        <v>170.57055661729578</v>
      </c>
      <c r="BR33" s="111">
        <f t="shared" si="31"/>
        <v>122.44196428571428</v>
      </c>
      <c r="BS33" s="111">
        <f t="shared" si="32"/>
        <v>1.3930726904974753</v>
      </c>
      <c r="BT33" s="111">
        <f t="shared" si="33"/>
        <v>47.41430661729578</v>
      </c>
      <c r="BU33" s="111">
        <f t="shared" si="34"/>
        <v>1.3291203235591509</v>
      </c>
    </row>
    <row r="34" spans="1:73" ht="12.75">
      <c r="A34" s="54">
        <v>38841</v>
      </c>
      <c r="B34" s="2" t="s">
        <v>46</v>
      </c>
      <c r="C34" s="2">
        <v>857892</v>
      </c>
      <c r="E34" s="77">
        <v>0.0078</v>
      </c>
      <c r="F34" s="77">
        <v>0.002</v>
      </c>
      <c r="G34" s="77">
        <v>0.0609</v>
      </c>
      <c r="H34" s="77">
        <v>1.847</v>
      </c>
      <c r="I34" s="77">
        <v>0.152</v>
      </c>
      <c r="J34" s="77">
        <v>0.02729</v>
      </c>
      <c r="K34" s="77">
        <v>0.005</v>
      </c>
      <c r="L34" s="77">
        <v>0.2348</v>
      </c>
      <c r="M34" s="77">
        <v>0.4084</v>
      </c>
      <c r="N34" s="77">
        <v>0.2642</v>
      </c>
      <c r="O34" s="77">
        <v>1.957</v>
      </c>
      <c r="P34" s="77">
        <v>0.5117</v>
      </c>
      <c r="Q34" s="77">
        <v>1.794</v>
      </c>
      <c r="R34" s="77">
        <v>6.36</v>
      </c>
      <c r="S34" s="77">
        <v>15.9</v>
      </c>
      <c r="T34" s="77">
        <v>15.763</v>
      </c>
      <c r="U34" s="77">
        <v>0.05</v>
      </c>
      <c r="V34" s="77">
        <v>0.4542</v>
      </c>
      <c r="W34" s="77">
        <v>0.002</v>
      </c>
      <c r="X34" s="77">
        <v>0.0028</v>
      </c>
      <c r="Y34" s="77">
        <v>2.208</v>
      </c>
      <c r="Z34" s="77">
        <v>0.0895</v>
      </c>
      <c r="AA34" s="77">
        <v>-0.08979000000000001</v>
      </c>
      <c r="AE34" s="49">
        <f t="shared" si="0"/>
        <v>0.2785714285714285</v>
      </c>
      <c r="AF34" s="49">
        <f t="shared" si="1"/>
        <v>0.07272727272727272</v>
      </c>
      <c r="AG34" s="49">
        <f t="shared" si="2"/>
        <v>6.7666666666666675</v>
      </c>
      <c r="AH34" s="49">
        <f t="shared" si="3"/>
        <v>263.85714285714283</v>
      </c>
      <c r="AI34" s="49">
        <f t="shared" si="4"/>
        <v>10.857142857142858</v>
      </c>
      <c r="AJ34" s="49">
        <f t="shared" si="5"/>
        <v>1.949285714285714</v>
      </c>
      <c r="AK34" s="49">
        <f t="shared" si="6"/>
        <v>0.4838709677419355</v>
      </c>
      <c r="AL34" s="49">
        <f t="shared" si="7"/>
        <v>6.02051282051282</v>
      </c>
      <c r="AM34" s="49">
        <f t="shared" si="8"/>
        <v>20.42</v>
      </c>
      <c r="AN34" s="49">
        <f t="shared" si="9"/>
        <v>22.016666666666666</v>
      </c>
      <c r="AO34" s="49">
        <f t="shared" si="10"/>
        <v>85.08695652173913</v>
      </c>
      <c r="AP34" s="49">
        <f t="shared" si="11"/>
        <v>31.981250000000003</v>
      </c>
      <c r="AQ34" s="49">
        <f t="shared" si="12"/>
        <v>51.25714285714285</v>
      </c>
      <c r="AR34" s="100">
        <f t="shared" si="27"/>
        <v>0.4365158322401656</v>
      </c>
      <c r="AS34" s="49">
        <f t="shared" si="13"/>
        <v>4.838709677419355</v>
      </c>
      <c r="AT34" s="49">
        <f t="shared" si="14"/>
        <v>28.3875</v>
      </c>
      <c r="AU34" s="49">
        <f t="shared" si="15"/>
        <v>0.06349206349206349</v>
      </c>
      <c r="AV34" s="49">
        <f t="shared" si="16"/>
        <v>0.08615384615384615</v>
      </c>
      <c r="AW34" s="100">
        <f t="shared" si="17"/>
        <v>6.392857142857143</v>
      </c>
      <c r="AX34" s="100">
        <f t="shared" si="28"/>
        <v>-6.413571428571429</v>
      </c>
      <c r="AY34" s="100"/>
      <c r="AZ34" s="100">
        <f t="shared" si="29"/>
        <v>12.806428571428572</v>
      </c>
      <c r="BA34" s="79"/>
      <c r="BB34" s="79"/>
      <c r="BC34" s="49">
        <f t="shared" si="18"/>
        <v>144.40127886606146</v>
      </c>
      <c r="BD34" s="49">
        <f t="shared" si="19"/>
        <v>85.18767857142856</v>
      </c>
      <c r="BE34" s="101">
        <f t="shared" si="20"/>
        <v>25.791136017835235</v>
      </c>
      <c r="BF34" s="102">
        <f>(('[2]setup'!$B$13*'[2]setup'!$B$14*'[2]setup'!$B$15)/10^(-R34))*10^6</f>
        <v>27.164005115155334</v>
      </c>
      <c r="BG34" s="103">
        <f t="shared" si="37"/>
        <v>20.913480722039893</v>
      </c>
      <c r="BH34" s="102">
        <f>(AM34+AN34+AO34+AL34+AI34)-(AP34+AQ34+AJ34)</f>
        <v>59.2136002946329</v>
      </c>
      <c r="BI34" s="102">
        <f>(AM34+AN34+AO34+AL34+AI34)+((10^-R34)*10^6)</f>
        <v>144.83779469830162</v>
      </c>
      <c r="BJ34" s="102">
        <f t="shared" si="40"/>
        <v>133.26516440862378</v>
      </c>
      <c r="BK34" s="30">
        <f t="shared" si="41"/>
        <v>4.161275495536309</v>
      </c>
      <c r="BL34" s="101"/>
      <c r="BM34" s="49">
        <f>(3*('[2]setup'!$D$19*(10^-R34)^3)+2*('[2]setup'!$D$20*'[2]setup'!$D$19*((10^-R34)^2))+('[2]setup'!$D$21*'[2]setup'!$D$19*10^-R34)+('[2]setup'!$D$19*'[2]setup'!$D$22*(AP34/(10^6*2))*(10^-R34)^3))*10^6</f>
        <v>0.0005309109619320505</v>
      </c>
      <c r="BN34" s="100">
        <f t="shared" si="42"/>
        <v>32.48664192267967</v>
      </c>
      <c r="BO34" s="102">
        <f>(BN34/((('[2]setup'!$C$26)/10^-R34)+2*(('[2]setup'!$C$26*'[2]setup'!$C$27)/(10^-R34^2))+3*(('[2]setup'!$C$26*'[2]setup'!$C$27*'[2]setup'!$C$28)/(10^-R34^3))))/(10^-R34^3/(10^-R34^3+'[2]setup'!$C$26*10^-R34^2+'[2]setup'!$C$26*'[2]setup'!$C$27*10^-R34+'[2]setup'!$C$26*'[2]setup'!$C$27*'[2]setup'!$C$28))</f>
        <v>13.361231226927032</v>
      </c>
      <c r="BQ34" s="111">
        <f t="shared" si="30"/>
        <v>144.4012788660615</v>
      </c>
      <c r="BR34" s="111">
        <f t="shared" si="31"/>
        <v>85.18767857142856</v>
      </c>
      <c r="BS34" s="111">
        <f t="shared" si="32"/>
        <v>1.6950958317872604</v>
      </c>
      <c r="BT34" s="111">
        <f t="shared" si="33"/>
        <v>48.356457437490036</v>
      </c>
      <c r="BU34" s="111">
        <f t="shared" si="34"/>
        <v>1.660001938829916</v>
      </c>
    </row>
    <row r="35" spans="1:73" ht="12.75">
      <c r="A35" s="54">
        <v>38853</v>
      </c>
      <c r="B35" s="2" t="s">
        <v>46</v>
      </c>
      <c r="C35" s="2">
        <v>859360</v>
      </c>
      <c r="E35" s="77">
        <v>0.006</v>
      </c>
      <c r="F35" s="77">
        <v>0.002</v>
      </c>
      <c r="G35" s="77">
        <v>0.02</v>
      </c>
      <c r="H35" s="77">
        <v>2.532</v>
      </c>
      <c r="I35" s="77">
        <v>0.01</v>
      </c>
      <c r="J35" s="77">
        <v>0.02544</v>
      </c>
      <c r="K35" s="77">
        <v>0.005</v>
      </c>
      <c r="L35" s="77">
        <v>0.1</v>
      </c>
      <c r="M35" s="77">
        <v>0.5244</v>
      </c>
      <c r="N35" s="77">
        <v>0.243</v>
      </c>
      <c r="O35" s="77">
        <v>2.246</v>
      </c>
      <c r="P35" s="77">
        <v>0.6349</v>
      </c>
      <c r="Q35" s="77">
        <v>2.226</v>
      </c>
      <c r="R35" s="77">
        <v>6.55</v>
      </c>
      <c r="S35" s="77">
        <v>15.9</v>
      </c>
      <c r="T35" s="77">
        <v>19.49</v>
      </c>
      <c r="U35" s="77">
        <v>0.05</v>
      </c>
      <c r="V35" s="77">
        <v>0.616</v>
      </c>
      <c r="W35" s="77">
        <v>0.002</v>
      </c>
      <c r="X35" s="77">
        <v>0.002</v>
      </c>
      <c r="Y35" s="77">
        <v>0.742</v>
      </c>
      <c r="Z35" s="77">
        <v>0.07171</v>
      </c>
      <c r="AA35" s="77">
        <v>0.03627</v>
      </c>
      <c r="AE35" s="49">
        <f t="shared" si="0"/>
        <v>0.2142857142857143</v>
      </c>
      <c r="AF35" s="49">
        <f t="shared" si="1"/>
        <v>0.07272727272727272</v>
      </c>
      <c r="AG35" s="49">
        <f t="shared" si="2"/>
        <v>2.2222222222222223</v>
      </c>
      <c r="AH35" s="49">
        <f t="shared" si="3"/>
        <v>361.7142857142857</v>
      </c>
      <c r="AI35" s="49">
        <f t="shared" si="4"/>
        <v>0.7142857142857143</v>
      </c>
      <c r="AJ35" s="49">
        <f t="shared" si="5"/>
        <v>1.8171428571428572</v>
      </c>
      <c r="AK35" s="49">
        <f t="shared" si="6"/>
        <v>0.4838709677419355</v>
      </c>
      <c r="AL35" s="49">
        <f t="shared" si="7"/>
        <v>2.5641025641025643</v>
      </c>
      <c r="AM35" s="49">
        <f t="shared" si="8"/>
        <v>26.22</v>
      </c>
      <c r="AN35" s="49">
        <f t="shared" si="9"/>
        <v>20.25</v>
      </c>
      <c r="AO35" s="49">
        <f t="shared" si="10"/>
        <v>97.65217391304348</v>
      </c>
      <c r="AP35" s="49">
        <f t="shared" si="11"/>
        <v>39.68125</v>
      </c>
      <c r="AQ35" s="49">
        <f t="shared" si="12"/>
        <v>63.6</v>
      </c>
      <c r="AR35" s="100">
        <f t="shared" si="27"/>
        <v>0.2818382931264455</v>
      </c>
      <c r="AS35" s="49">
        <f t="shared" si="13"/>
        <v>4.838709677419355</v>
      </c>
      <c r="AT35" s="49">
        <f t="shared" si="14"/>
        <v>38.5</v>
      </c>
      <c r="AU35" s="49">
        <f t="shared" si="15"/>
        <v>0.06349206349206349</v>
      </c>
      <c r="AV35" s="49">
        <f t="shared" si="16"/>
        <v>0.061538461538461535</v>
      </c>
      <c r="AW35" s="100">
        <f t="shared" si="17"/>
        <v>5.122142857142857</v>
      </c>
      <c r="AX35" s="100">
        <f t="shared" si="28"/>
        <v>2.5907142857142857</v>
      </c>
      <c r="AY35" s="100"/>
      <c r="AZ35" s="100">
        <f t="shared" si="29"/>
        <v>2.5314285714285716</v>
      </c>
      <c r="BA35" s="79"/>
      <c r="BB35" s="79"/>
      <c r="BC35" s="49">
        <f t="shared" si="18"/>
        <v>147.4005621914318</v>
      </c>
      <c r="BD35" s="49">
        <f t="shared" si="19"/>
        <v>105.09839285714285</v>
      </c>
      <c r="BE35" s="101">
        <f t="shared" si="20"/>
        <v>16.753403722463336</v>
      </c>
      <c r="BF35" s="102">
        <f>(('[2]setup'!$B$13*'[2]setup'!$B$14*'[2]setup'!$B$15)/10^(-R35))*10^6</f>
        <v>42.07206255857623</v>
      </c>
      <c r="BG35" s="103">
        <f t="shared" si="37"/>
        <v>7.1152170604243</v>
      </c>
      <c r="BH35" s="102">
        <f t="shared" si="38"/>
        <v>42.302169334288905</v>
      </c>
      <c r="BI35" s="102">
        <f t="shared" si="39"/>
        <v>147.6824004845582</v>
      </c>
      <c r="BJ35" s="102">
        <f t="shared" si="40"/>
        <v>154.2856724761434</v>
      </c>
      <c r="BK35" s="30">
        <f t="shared" si="41"/>
        <v>2.1867450842872866</v>
      </c>
      <c r="BL35" s="101"/>
      <c r="BM35" s="49">
        <f>(3*('[2]setup'!$D$19*(10^-R35)^3)+2*('[2]setup'!$D$20*'[2]setup'!$D$19*((10^-R35)^2))+('[2]setup'!$D$21*'[2]setup'!$D$19*10^-R35)+('[2]setup'!$D$19*'[2]setup'!$D$22*(AP35/(10^6*2))*(10^-R35)^3))*10^6</f>
        <v>0.0003052308101366753</v>
      </c>
      <c r="BN35" s="100">
        <f t="shared" si="42"/>
        <v>0.5122502996492528</v>
      </c>
      <c r="BO35" s="102">
        <f>(BN35/((('[2]setup'!$C$26)/10^-R35)+2*(('[2]setup'!$C$26*'[2]setup'!$C$27)/(10^-R35^2))+3*(('[2]setup'!$C$26*'[2]setup'!$C$27*'[2]setup'!$C$28)/(10^-R35^3))))/(10^-R35^3/(10^-R35^3+'[2]setup'!$C$26*10^-R35^2+'[2]setup'!$C$26*'[2]setup'!$C$27*10^-R35+'[2]setup'!$C$26*'[2]setup'!$C$27*'[2]setup'!$C$28))</f>
        <v>0.20125331160937457</v>
      </c>
      <c r="BQ35" s="111">
        <f t="shared" si="30"/>
        <v>147.40056219143176</v>
      </c>
      <c r="BR35" s="111">
        <f t="shared" si="31"/>
        <v>105.09839285714285</v>
      </c>
      <c r="BS35" s="111">
        <f t="shared" si="32"/>
        <v>1.4025006299743232</v>
      </c>
      <c r="BT35" s="111">
        <f t="shared" si="33"/>
        <v>41.58788362000321</v>
      </c>
      <c r="BU35" s="111">
        <f t="shared" si="34"/>
        <v>1.5354115395132624</v>
      </c>
    </row>
    <row r="36" spans="1:73" ht="12.75">
      <c r="A36" s="54">
        <v>38867</v>
      </c>
      <c r="B36" s="2" t="s">
        <v>46</v>
      </c>
      <c r="C36" s="2">
        <v>859970</v>
      </c>
      <c r="E36" s="77">
        <v>0.006</v>
      </c>
      <c r="F36" s="77">
        <v>0.002</v>
      </c>
      <c r="G36" s="77">
        <v>0.0558</v>
      </c>
      <c r="H36" s="77">
        <v>2.613</v>
      </c>
      <c r="I36" s="77">
        <v>0.01</v>
      </c>
      <c r="J36" s="77">
        <v>0.025</v>
      </c>
      <c r="K36" s="77">
        <v>0.005</v>
      </c>
      <c r="L36" s="77">
        <v>0.1249</v>
      </c>
      <c r="M36" s="77">
        <v>0.5294</v>
      </c>
      <c r="N36" s="77">
        <v>0.2873</v>
      </c>
      <c r="O36" s="77">
        <v>2.624</v>
      </c>
      <c r="P36" s="77">
        <v>0.604469</v>
      </c>
      <c r="Q36" s="77">
        <v>2.98746</v>
      </c>
      <c r="R36" s="77">
        <v>6.58</v>
      </c>
      <c r="S36" s="77">
        <v>18.7</v>
      </c>
      <c r="T36" s="77">
        <v>20.24</v>
      </c>
      <c r="U36" s="77">
        <v>0.05</v>
      </c>
      <c r="V36" s="77">
        <v>0.6079</v>
      </c>
      <c r="W36" s="77">
        <v>0.002</v>
      </c>
      <c r="X36" s="77">
        <v>0.002</v>
      </c>
      <c r="Y36" s="77">
        <v>1.893</v>
      </c>
      <c r="Z36" s="77">
        <v>0.06659</v>
      </c>
      <c r="AA36" s="77">
        <v>0.03158999999999999</v>
      </c>
      <c r="AE36" s="49">
        <f t="shared" si="0"/>
        <v>0.2142857142857143</v>
      </c>
      <c r="AF36" s="49">
        <f t="shared" si="1"/>
        <v>0.07272727272727272</v>
      </c>
      <c r="AG36" s="49">
        <f t="shared" si="2"/>
        <v>6.200000000000001</v>
      </c>
      <c r="AH36" s="49">
        <f t="shared" si="3"/>
        <v>373.2857142857143</v>
      </c>
      <c r="AI36" s="49">
        <f t="shared" si="4"/>
        <v>0.7142857142857143</v>
      </c>
      <c r="AJ36" s="49">
        <f t="shared" si="5"/>
        <v>1.7857142857142858</v>
      </c>
      <c r="AK36" s="49">
        <f t="shared" si="6"/>
        <v>0.4838709677419355</v>
      </c>
      <c r="AL36" s="49">
        <f t="shared" si="7"/>
        <v>3.2025641025641023</v>
      </c>
      <c r="AM36" s="49">
        <f t="shared" si="8"/>
        <v>26.47</v>
      </c>
      <c r="AN36" s="49">
        <f t="shared" si="9"/>
        <v>23.941666666666666</v>
      </c>
      <c r="AO36" s="49">
        <f t="shared" si="10"/>
        <v>114.08695652173914</v>
      </c>
      <c r="AP36" s="49">
        <f t="shared" si="11"/>
        <v>37.7793125</v>
      </c>
      <c r="AQ36" s="49">
        <f t="shared" si="12"/>
        <v>85.356</v>
      </c>
      <c r="AR36" s="100">
        <f t="shared" si="27"/>
        <v>0.26302679918953814</v>
      </c>
      <c r="AS36" s="49">
        <f t="shared" si="13"/>
        <v>4.838709677419355</v>
      </c>
      <c r="AT36" s="49">
        <f t="shared" si="14"/>
        <v>37.99375</v>
      </c>
      <c r="AU36" s="49">
        <f t="shared" si="15"/>
        <v>0.06349206349206349</v>
      </c>
      <c r="AV36" s="49">
        <f t="shared" si="16"/>
        <v>0.061538461538461535</v>
      </c>
      <c r="AW36" s="100">
        <f t="shared" si="17"/>
        <v>4.756428571428571</v>
      </c>
      <c r="AX36" s="100">
        <f t="shared" si="28"/>
        <v>2.256428571428571</v>
      </c>
      <c r="AY36" s="100"/>
      <c r="AZ36" s="100">
        <f t="shared" si="29"/>
        <v>2.5</v>
      </c>
      <c r="BA36" s="79"/>
      <c r="BB36" s="79"/>
      <c r="BC36" s="49">
        <f t="shared" si="18"/>
        <v>168.41547300525565</v>
      </c>
      <c r="BD36" s="49">
        <f t="shared" si="19"/>
        <v>124.92102678571428</v>
      </c>
      <c r="BE36" s="101">
        <f t="shared" si="20"/>
        <v>14.827492061347733</v>
      </c>
      <c r="BF36" s="102">
        <f>(('[2]setup'!$B$13*'[2]setup'!$B$14*'[2]setup'!$B$15)/10^(-R36))*10^6</f>
        <v>45.08102724267871</v>
      </c>
      <c r="BG36" s="103">
        <f t="shared" si="37"/>
        <v>18.183354576317225</v>
      </c>
      <c r="BH36" s="102">
        <f t="shared" si="38"/>
        <v>43.49444621954136</v>
      </c>
      <c r="BI36" s="102">
        <f t="shared" si="39"/>
        <v>168.67849980444518</v>
      </c>
      <c r="BJ36" s="102">
        <f t="shared" si="40"/>
        <v>188.18540860471023</v>
      </c>
      <c r="BK36" s="30">
        <f t="shared" si="41"/>
        <v>5.466203877893918</v>
      </c>
      <c r="BL36" s="101"/>
      <c r="BM36" s="49">
        <f>(3*('[2]setup'!$D$19*(10^-R36)^3)+2*('[2]setup'!$D$20*'[2]setup'!$D$19*((10^-R36)^2))+('[2]setup'!$D$21*'[2]setup'!$D$19*10^-R36)+('[2]setup'!$D$19*'[2]setup'!$D$22*(AP36/(10^6*2))*(10^-R36)^3))*10^6</f>
        <v>0.00028085112586452023</v>
      </c>
      <c r="BN36" s="100">
        <f t="shared" si="42"/>
        <v>-1.3232733728219443</v>
      </c>
      <c r="BO36" s="102">
        <f>(BN36/((('[2]setup'!$C$26)/10^-R36)+2*(('[2]setup'!$C$26*'[2]setup'!$C$27)/(10^-R36^2))+3*(('[2]setup'!$C$26*'[2]setup'!$C$27*'[2]setup'!$C$28)/(10^-R36^3))))/(10^-R36^3/(10^-R36^3+'[2]setup'!$C$26*10^-R36^2+'[2]setup'!$C$26*'[2]setup'!$C$27*10^-R36+'[2]setup'!$C$26*'[2]setup'!$C$27*'[2]setup'!$C$28))</f>
        <v>-0.5163186569643113</v>
      </c>
      <c r="BQ36" s="111">
        <f t="shared" si="30"/>
        <v>168.41547300525562</v>
      </c>
      <c r="BR36" s="111">
        <f t="shared" si="31"/>
        <v>124.92102678571428</v>
      </c>
      <c r="BS36" s="111">
        <f t="shared" si="32"/>
        <v>1.3481755420898869</v>
      </c>
      <c r="BT36" s="111">
        <f t="shared" si="33"/>
        <v>42.78016050525565</v>
      </c>
      <c r="BU36" s="111">
        <f t="shared" si="34"/>
        <v>1.3366014869691545</v>
      </c>
    </row>
    <row r="37" spans="1:73" ht="12.75">
      <c r="A37" s="54">
        <v>38910</v>
      </c>
      <c r="B37" s="2" t="s">
        <v>46</v>
      </c>
      <c r="C37" s="2">
        <v>861938</v>
      </c>
      <c r="E37" s="77">
        <v>0.006</v>
      </c>
      <c r="F37" s="77">
        <v>0.002</v>
      </c>
      <c r="G37" s="77">
        <v>0.02</v>
      </c>
      <c r="H37" s="77">
        <v>2.73</v>
      </c>
      <c r="I37" s="77">
        <v>0.01</v>
      </c>
      <c r="J37" s="77">
        <v>0.025</v>
      </c>
      <c r="K37" s="77">
        <v>0.005</v>
      </c>
      <c r="L37" s="77">
        <v>0.1</v>
      </c>
      <c r="M37" s="77">
        <v>0.6</v>
      </c>
      <c r="N37" s="77">
        <v>0.32</v>
      </c>
      <c r="O37" s="77">
        <v>2.67</v>
      </c>
      <c r="P37" s="77">
        <v>0.694</v>
      </c>
      <c r="Q37" s="77">
        <v>2.622</v>
      </c>
      <c r="R37" s="77">
        <v>6.82</v>
      </c>
      <c r="S37" s="77">
        <v>23.1</v>
      </c>
      <c r="T37" s="77">
        <v>23.173</v>
      </c>
      <c r="U37" s="77">
        <v>0.05</v>
      </c>
      <c r="V37" s="77">
        <v>0.69</v>
      </c>
      <c r="W37" s="77">
        <v>0.002</v>
      </c>
      <c r="X37" s="77">
        <v>0.002</v>
      </c>
      <c r="Y37" s="77">
        <v>0.6</v>
      </c>
      <c r="Z37" s="77">
        <v>0.06</v>
      </c>
      <c r="AA37" s="77">
        <v>0.025</v>
      </c>
      <c r="AE37" s="49">
        <f t="shared" si="0"/>
        <v>0.2142857142857143</v>
      </c>
      <c r="AF37" s="49">
        <f t="shared" si="1"/>
        <v>0.07272727272727272</v>
      </c>
      <c r="AG37" s="49">
        <f t="shared" si="2"/>
        <v>2.2222222222222223</v>
      </c>
      <c r="AH37" s="49">
        <f t="shared" si="3"/>
        <v>390</v>
      </c>
      <c r="AI37" s="49">
        <f t="shared" si="4"/>
        <v>0.7142857142857143</v>
      </c>
      <c r="AJ37" s="49">
        <f t="shared" si="5"/>
        <v>1.7857142857142858</v>
      </c>
      <c r="AK37" s="49">
        <f t="shared" si="6"/>
        <v>0.4838709677419355</v>
      </c>
      <c r="AL37" s="49">
        <f t="shared" si="7"/>
        <v>2.5641025641025643</v>
      </c>
      <c r="AM37" s="49">
        <f t="shared" si="8"/>
        <v>30</v>
      </c>
      <c r="AN37" s="49">
        <f t="shared" si="9"/>
        <v>26.666666666666668</v>
      </c>
      <c r="AO37" s="49">
        <f t="shared" si="10"/>
        <v>116.08695652173913</v>
      </c>
      <c r="AP37" s="49">
        <f t="shared" si="11"/>
        <v>43.375</v>
      </c>
      <c r="AQ37" s="49">
        <f t="shared" si="12"/>
        <v>74.91428571428571</v>
      </c>
      <c r="AR37" s="100">
        <f t="shared" si="27"/>
        <v>0.15135612484362068</v>
      </c>
      <c r="AS37" s="49">
        <f t="shared" si="13"/>
        <v>4.838709677419355</v>
      </c>
      <c r="AT37" s="49">
        <f t="shared" si="14"/>
        <v>43.125</v>
      </c>
      <c r="AU37" s="49">
        <f t="shared" si="15"/>
        <v>0.06349206349206349</v>
      </c>
      <c r="AV37" s="49">
        <f t="shared" si="16"/>
        <v>0.061538461538461535</v>
      </c>
      <c r="AW37" s="100">
        <f t="shared" si="17"/>
        <v>4.285714285714286</v>
      </c>
      <c r="AX37" s="100">
        <f t="shared" si="28"/>
        <v>1.7857142857142856</v>
      </c>
      <c r="AY37" s="100"/>
      <c r="AZ37" s="100">
        <f t="shared" si="29"/>
        <v>2.5</v>
      </c>
      <c r="BA37" s="79"/>
      <c r="BB37" s="79"/>
      <c r="BC37" s="49">
        <f t="shared" si="18"/>
        <v>176.03201146679407</v>
      </c>
      <c r="BD37" s="49">
        <f t="shared" si="19"/>
        <v>120.07499999999999</v>
      </c>
      <c r="BE37" s="101">
        <f t="shared" si="20"/>
        <v>18.897563819784523</v>
      </c>
      <c r="BF37" s="102">
        <f>(('[2]setup'!$B$13*'[2]setup'!$B$14*'[2]setup'!$B$15)/10^(-R37))*10^6</f>
        <v>78.34184650320032</v>
      </c>
      <c r="BG37" s="103">
        <f t="shared" si="37"/>
        <v>5.830290332729676</v>
      </c>
      <c r="BH37" s="102">
        <f t="shared" si="38"/>
        <v>55.9570114667941</v>
      </c>
      <c r="BI37" s="102">
        <f t="shared" si="39"/>
        <v>176.18336759163773</v>
      </c>
      <c r="BJ37" s="102">
        <f t="shared" si="40"/>
        <v>204.24713683593</v>
      </c>
      <c r="BK37" s="30">
        <f t="shared" si="41"/>
        <v>7.376845157703565</v>
      </c>
      <c r="BL37" s="101"/>
      <c r="BM37" s="49">
        <f>(3*('[2]setup'!$D$19*(10^-R37)^3)+2*('[2]setup'!$D$20*'[2]setup'!$D$19*((10^-R37)^2))+('[2]setup'!$D$21*'[2]setup'!$D$19*10^-R37)+('[2]setup'!$D$19*'[2]setup'!$D$22*(AP37/(10^6*2))*(10^-R37)^3))*10^6</f>
        <v>0.00014859717910510007</v>
      </c>
      <c r="BN37" s="100">
        <f t="shared" si="42"/>
        <v>-22.233330314383466</v>
      </c>
      <c r="BO37" s="102">
        <f>(BN37/((('[2]setup'!$C$26)/10^-R37)+2*(('[2]setup'!$C$26*'[2]setup'!$C$27)/(10^-R37^2))+3*(('[2]setup'!$C$26*'[2]setup'!$C$27*'[2]setup'!$C$28)/(10^-R37^3))))/(10^-R37^3/(10^-R37^3+'[2]setup'!$C$26*10^-R37^2+'[2]setup'!$C$26*'[2]setup'!$C$27*10^-R37+'[2]setup'!$C$26*'[2]setup'!$C$27*'[2]setup'!$C$28))</f>
        <v>-8.254109107055745</v>
      </c>
      <c r="BQ37" s="111">
        <f t="shared" si="30"/>
        <v>176.03201146679407</v>
      </c>
      <c r="BR37" s="111">
        <f t="shared" si="31"/>
        <v>120.07499999999999</v>
      </c>
      <c r="BS37" s="111">
        <f t="shared" si="32"/>
        <v>1.4660171681598508</v>
      </c>
      <c r="BT37" s="111">
        <f t="shared" si="33"/>
        <v>55.24272575250836</v>
      </c>
      <c r="BU37" s="111">
        <f t="shared" si="34"/>
        <v>1.5495970550194011</v>
      </c>
    </row>
    <row r="38" spans="1:73" ht="12.75">
      <c r="A38" s="54">
        <v>38965</v>
      </c>
      <c r="B38" s="2" t="s">
        <v>46</v>
      </c>
      <c r="C38" s="2">
        <v>868211</v>
      </c>
      <c r="E38" s="77">
        <v>0.006</v>
      </c>
      <c r="F38" s="77">
        <v>0.002</v>
      </c>
      <c r="G38" s="77">
        <v>0.036</v>
      </c>
      <c r="H38" s="77">
        <v>2.76</v>
      </c>
      <c r="I38" s="77">
        <v>0.01</v>
      </c>
      <c r="J38" s="77">
        <v>0.026</v>
      </c>
      <c r="K38" s="77">
        <v>0.005</v>
      </c>
      <c r="L38" s="77">
        <v>0.11</v>
      </c>
      <c r="M38" s="77">
        <v>0.69</v>
      </c>
      <c r="N38" s="77">
        <v>0.28</v>
      </c>
      <c r="O38" s="77">
        <v>2.33</v>
      </c>
      <c r="P38" s="77">
        <v>0.7</v>
      </c>
      <c r="Q38" s="77">
        <v>2.683</v>
      </c>
      <c r="R38" s="77">
        <v>6.71</v>
      </c>
      <c r="S38" s="77">
        <v>20.3</v>
      </c>
      <c r="T38" s="77">
        <v>22.374</v>
      </c>
      <c r="U38" s="77">
        <v>0.05</v>
      </c>
      <c r="V38" s="77">
        <v>0.69</v>
      </c>
      <c r="W38" s="77">
        <v>0.002</v>
      </c>
      <c r="X38" s="77">
        <v>0.008</v>
      </c>
      <c r="Y38" s="77">
        <v>1.8</v>
      </c>
      <c r="Z38" s="77">
        <v>0.08</v>
      </c>
      <c r="AA38" s="77">
        <v>0.044000000000000004</v>
      </c>
      <c r="AE38" s="49">
        <f t="shared" si="0"/>
        <v>0.2142857142857143</v>
      </c>
      <c r="AF38" s="49">
        <f t="shared" si="1"/>
        <v>0.07272727272727272</v>
      </c>
      <c r="AG38" s="49">
        <f t="shared" si="2"/>
        <v>4</v>
      </c>
      <c r="AH38" s="49">
        <f t="shared" si="3"/>
        <v>394.2857142857142</v>
      </c>
      <c r="AI38" s="49">
        <f t="shared" si="4"/>
        <v>0.7142857142857143</v>
      </c>
      <c r="AJ38" s="49">
        <f t="shared" si="5"/>
        <v>1.8571428571428572</v>
      </c>
      <c r="AK38" s="49">
        <f t="shared" si="6"/>
        <v>0.4838709677419355</v>
      </c>
      <c r="AL38" s="49">
        <f t="shared" si="7"/>
        <v>2.8205128205128207</v>
      </c>
      <c r="AM38" s="49">
        <f t="shared" si="8"/>
        <v>34.49999999999999</v>
      </c>
      <c r="AN38" s="49">
        <f t="shared" si="9"/>
        <v>23.333333333333336</v>
      </c>
      <c r="AO38" s="49">
        <f t="shared" si="10"/>
        <v>101.30434782608697</v>
      </c>
      <c r="AP38" s="49">
        <f t="shared" si="11"/>
        <v>43.75</v>
      </c>
      <c r="AQ38" s="49">
        <f t="shared" si="12"/>
        <v>76.65714285714286</v>
      </c>
      <c r="AR38" s="100">
        <f t="shared" si="27"/>
        <v>0.1949844599758045</v>
      </c>
      <c r="AS38" s="49">
        <f t="shared" si="13"/>
        <v>4.838709677419355</v>
      </c>
      <c r="AT38" s="49">
        <f t="shared" si="14"/>
        <v>43.125</v>
      </c>
      <c r="AU38" s="49">
        <f t="shared" si="15"/>
        <v>0.06349206349206349</v>
      </c>
      <c r="AV38" s="49">
        <f t="shared" si="16"/>
        <v>0.24615384615384614</v>
      </c>
      <c r="AW38" s="100">
        <f t="shared" si="17"/>
        <v>5.714285714285714</v>
      </c>
      <c r="AX38" s="100">
        <f t="shared" si="28"/>
        <v>3.142857142857143</v>
      </c>
      <c r="AY38" s="100"/>
      <c r="AZ38" s="100">
        <f t="shared" si="29"/>
        <v>2.5714285714285716</v>
      </c>
      <c r="BA38" s="79"/>
      <c r="BB38" s="79"/>
      <c r="BC38" s="49">
        <f t="shared" si="18"/>
        <v>162.67247969421885</v>
      </c>
      <c r="BD38" s="49">
        <f t="shared" si="19"/>
        <v>122.2642857142857</v>
      </c>
      <c r="BE38" s="101">
        <f t="shared" si="20"/>
        <v>14.181460199423979</v>
      </c>
      <c r="BF38" s="102">
        <f>(('[2]setup'!$B$13*'[2]setup'!$B$14*'[2]setup'!$B$15)/10^(-R38))*10^6</f>
        <v>60.81263245947677</v>
      </c>
      <c r="BG38" s="103">
        <f t="shared" si="37"/>
        <v>17.406036192942718</v>
      </c>
      <c r="BH38" s="102">
        <f t="shared" si="38"/>
        <v>40.40819397993313</v>
      </c>
      <c r="BI38" s="102">
        <f t="shared" si="39"/>
        <v>162.86746415419466</v>
      </c>
      <c r="BJ38" s="102">
        <f t="shared" si="40"/>
        <v>200.4829543667052</v>
      </c>
      <c r="BK38" s="30">
        <f t="shared" si="41"/>
        <v>10.352400408848544</v>
      </c>
      <c r="BL38" s="101"/>
      <c r="BM38" s="49">
        <f>(3*('[2]setup'!$D$19*(10^-R38)^3)+2*('[2]setup'!$D$20*'[2]setup'!$D$19*((10^-R38)^2))+('[2]setup'!$D$21*'[2]setup'!$D$19*10^-R38)+('[2]setup'!$D$19*'[2]setup'!$D$22*(AP38/(10^6*2))*(10^-R38)^3))*10^6</f>
        <v>0.00019780777758726537</v>
      </c>
      <c r="BN38" s="100">
        <f t="shared" si="42"/>
        <v>-20.209256211790233</v>
      </c>
      <c r="BO38" s="102">
        <f>(BN38/((('[2]setup'!$C$26)/10^-R38)+2*(('[2]setup'!$C$26*'[2]setup'!$C$27)/(10^-R38^2))+3*(('[2]setup'!$C$26*'[2]setup'!$C$27*'[2]setup'!$C$28)/(10^-R38^3))))/(10^-R38^3/(10^-R38^3+'[2]setup'!$C$26*10^-R38^2+'[2]setup'!$C$26*'[2]setup'!$C$27*10^-R38+'[2]setup'!$C$26*'[2]setup'!$C$27*'[2]setup'!$C$28))</f>
        <v>-7.665626817373973</v>
      </c>
      <c r="BQ38" s="111">
        <f t="shared" si="30"/>
        <v>162.67247969421882</v>
      </c>
      <c r="BR38" s="111">
        <f t="shared" si="31"/>
        <v>122.2642857142857</v>
      </c>
      <c r="BS38" s="111">
        <f t="shared" si="32"/>
        <v>1.3304987531220795</v>
      </c>
      <c r="BT38" s="111">
        <f t="shared" si="33"/>
        <v>39.69390826564742</v>
      </c>
      <c r="BU38" s="111">
        <f t="shared" si="34"/>
        <v>1.3215252232251375</v>
      </c>
    </row>
    <row r="39" spans="1:73" ht="12.75">
      <c r="A39" s="54">
        <v>38980</v>
      </c>
      <c r="B39" s="2" t="s">
        <v>46</v>
      </c>
      <c r="C39" s="2">
        <v>869331</v>
      </c>
      <c r="E39" s="77">
        <v>0.006</v>
      </c>
      <c r="F39" s="77">
        <v>0.002</v>
      </c>
      <c r="G39" s="77">
        <v>0.067</v>
      </c>
      <c r="H39" s="77">
        <v>2.72</v>
      </c>
      <c r="I39" s="77">
        <v>0.011</v>
      </c>
      <c r="J39" s="77">
        <v>0.029</v>
      </c>
      <c r="K39" s="77">
        <v>0.005</v>
      </c>
      <c r="L39" s="77">
        <v>0.19</v>
      </c>
      <c r="M39" s="77">
        <v>0.61</v>
      </c>
      <c r="N39" s="77">
        <v>0.29</v>
      </c>
      <c r="O39" s="77">
        <v>2.71</v>
      </c>
      <c r="P39" s="77">
        <v>0.656</v>
      </c>
      <c r="Q39" s="77">
        <v>2.697</v>
      </c>
      <c r="R39" s="77">
        <v>6.67</v>
      </c>
      <c r="S39" s="77">
        <v>21.1</v>
      </c>
      <c r="T39" s="77">
        <v>22.581</v>
      </c>
      <c r="U39" s="77">
        <v>0.05</v>
      </c>
      <c r="V39" s="77">
        <v>0.62</v>
      </c>
      <c r="W39" s="77">
        <v>0.002</v>
      </c>
      <c r="X39" s="77">
        <v>0.002</v>
      </c>
      <c r="Y39" s="77">
        <v>2.9</v>
      </c>
      <c r="Z39" s="77">
        <v>0.13</v>
      </c>
      <c r="AA39" s="77">
        <v>0.09</v>
      </c>
      <c r="AE39" s="49">
        <f t="shared" si="0"/>
        <v>0.2142857142857143</v>
      </c>
      <c r="AF39" s="49">
        <f t="shared" si="1"/>
        <v>0.07272727272727272</v>
      </c>
      <c r="AG39" s="49">
        <f t="shared" si="2"/>
        <v>7.444444444444445</v>
      </c>
      <c r="AH39" s="49">
        <f t="shared" si="3"/>
        <v>388.5714285714286</v>
      </c>
      <c r="AI39" s="49">
        <f t="shared" si="4"/>
        <v>0.7857142857142856</v>
      </c>
      <c r="AJ39" s="49">
        <f t="shared" si="5"/>
        <v>2.0714285714285716</v>
      </c>
      <c r="AK39" s="49">
        <f t="shared" si="6"/>
        <v>0.4838709677419355</v>
      </c>
      <c r="AL39" s="49">
        <f t="shared" si="7"/>
        <v>4.871794871794872</v>
      </c>
      <c r="AM39" s="49">
        <f t="shared" si="8"/>
        <v>30.5</v>
      </c>
      <c r="AN39" s="49">
        <f t="shared" si="9"/>
        <v>24.166666666666668</v>
      </c>
      <c r="AO39" s="49">
        <f t="shared" si="10"/>
        <v>117.82608695652173</v>
      </c>
      <c r="AP39" s="49">
        <f t="shared" si="11"/>
        <v>41</v>
      </c>
      <c r="AQ39" s="49">
        <f t="shared" si="12"/>
        <v>77.05714285714286</v>
      </c>
      <c r="AR39" s="100">
        <f t="shared" si="27"/>
        <v>0.21379620895022322</v>
      </c>
      <c r="AS39" s="49">
        <f t="shared" si="13"/>
        <v>4.838709677419355</v>
      </c>
      <c r="AT39" s="49">
        <f t="shared" si="14"/>
        <v>38.75</v>
      </c>
      <c r="AU39" s="49">
        <f t="shared" si="15"/>
        <v>0.06349206349206349</v>
      </c>
      <c r="AV39" s="49">
        <f t="shared" si="16"/>
        <v>0.061538461538461535</v>
      </c>
      <c r="AW39" s="100">
        <f t="shared" si="17"/>
        <v>9.285714285714286</v>
      </c>
      <c r="AX39" s="100">
        <f t="shared" si="28"/>
        <v>6.428571428571429</v>
      </c>
      <c r="AY39" s="100"/>
      <c r="AZ39" s="100">
        <f t="shared" si="29"/>
        <v>2.857142857142857</v>
      </c>
      <c r="BA39" s="79"/>
      <c r="BB39" s="79"/>
      <c r="BC39" s="49">
        <f t="shared" si="18"/>
        <v>178.15026278069757</v>
      </c>
      <c r="BD39" s="49">
        <f t="shared" si="19"/>
        <v>120.12857142857143</v>
      </c>
      <c r="BE39" s="101">
        <f t="shared" si="20"/>
        <v>19.452165121249866</v>
      </c>
      <c r="BF39" s="102">
        <f>(('[2]setup'!$B$13*'[2]setup'!$B$14*'[2]setup'!$B$15)/10^(-R39))*10^6</f>
        <v>55.46177997280986</v>
      </c>
      <c r="BG39" s="103">
        <f t="shared" si="37"/>
        <v>27.98861994481689</v>
      </c>
      <c r="BH39" s="102">
        <f t="shared" si="38"/>
        <v>58.02169135212611</v>
      </c>
      <c r="BI39" s="102">
        <f t="shared" si="39"/>
        <v>178.36405898964776</v>
      </c>
      <c r="BJ39" s="102">
        <f t="shared" si="40"/>
        <v>203.5789713461982</v>
      </c>
      <c r="BK39" s="30">
        <f t="shared" si="41"/>
        <v>6.601746950161318</v>
      </c>
      <c r="BL39" s="101"/>
      <c r="BM39" s="49">
        <f>(3*('[2]setup'!$D$19*(10^-R39)^3)+2*('[2]setup'!$D$20*'[2]setup'!$D$19*((10^-R39)^2))+('[2]setup'!$D$21*'[2]setup'!$D$19*10^-R39)+('[2]setup'!$D$19*'[2]setup'!$D$22*(AP39/(10^6*2))*(10^-R39)^3))*10^6</f>
        <v>0.0002199817381716918</v>
      </c>
      <c r="BN39" s="100">
        <f t="shared" si="42"/>
        <v>2.773927570004645</v>
      </c>
      <c r="BO39" s="102">
        <f>(BN39/((('[2]setup'!$C$26)/10^-R39)+2*(('[2]setup'!$C$26*'[2]setup'!$C$27)/(10^-R39^2))+3*(('[2]setup'!$C$26*'[2]setup'!$C$27*'[2]setup'!$C$28)/(10^-R39^3))))/(10^-R39^3/(10^-R39^3+'[2]setup'!$C$26*10^-R39^2+'[2]setup'!$C$26*'[2]setup'!$C$27*10^-R39+'[2]setup'!$C$26*'[2]setup'!$C$27*'[2]setup'!$C$28))</f>
        <v>1.061050177127129</v>
      </c>
      <c r="BQ39" s="111">
        <f t="shared" si="30"/>
        <v>178.15026278069757</v>
      </c>
      <c r="BR39" s="111">
        <f t="shared" si="31"/>
        <v>120.12857142857143</v>
      </c>
      <c r="BS39" s="111">
        <f t="shared" si="32"/>
        <v>1.4829965982457878</v>
      </c>
      <c r="BT39" s="111">
        <f t="shared" si="33"/>
        <v>57.23597706641186</v>
      </c>
      <c r="BU39" s="111">
        <f t="shared" si="34"/>
        <v>1.5290741725911237</v>
      </c>
    </row>
    <row r="40" spans="1:73" ht="12.75">
      <c r="A40" s="54">
        <v>39021</v>
      </c>
      <c r="B40" s="2" t="s">
        <v>46</v>
      </c>
      <c r="C40" s="2">
        <v>873151</v>
      </c>
      <c r="E40" s="77">
        <v>0.018</v>
      </c>
      <c r="F40" s="77">
        <v>0.002</v>
      </c>
      <c r="G40" s="77">
        <v>0.1056</v>
      </c>
      <c r="H40" s="77">
        <v>2.855</v>
      </c>
      <c r="I40" s="77">
        <v>0.01</v>
      </c>
      <c r="J40" s="77">
        <v>0.028</v>
      </c>
      <c r="K40" s="77">
        <v>0.005</v>
      </c>
      <c r="L40" s="77">
        <v>0.2522</v>
      </c>
      <c r="M40" s="77">
        <v>0.438</v>
      </c>
      <c r="N40" s="77">
        <v>0.3343</v>
      </c>
      <c r="O40" s="77">
        <v>3.058</v>
      </c>
      <c r="P40" s="77">
        <v>0.567</v>
      </c>
      <c r="Q40" s="77">
        <v>2.625</v>
      </c>
      <c r="R40" s="77">
        <v>6.49</v>
      </c>
      <c r="S40" s="77">
        <v>18.7</v>
      </c>
      <c r="T40" s="77">
        <v>20.284</v>
      </c>
      <c r="U40" s="77">
        <v>0.05</v>
      </c>
      <c r="V40" s="77">
        <v>0.91</v>
      </c>
      <c r="W40" s="77">
        <v>0.002</v>
      </c>
      <c r="X40" s="77">
        <v>0.002</v>
      </c>
      <c r="Y40" s="77">
        <v>4.7</v>
      </c>
      <c r="Z40" s="77">
        <v>0.13</v>
      </c>
      <c r="AA40" s="77">
        <v>0.092</v>
      </c>
      <c r="AE40" s="49">
        <f t="shared" si="0"/>
        <v>0.6428571428571428</v>
      </c>
      <c r="AF40" s="49">
        <f t="shared" si="1"/>
        <v>0.07272727272727272</v>
      </c>
      <c r="AG40" s="49">
        <f t="shared" si="2"/>
        <v>11.733333333333333</v>
      </c>
      <c r="AH40" s="49">
        <f t="shared" si="3"/>
        <v>407.8571428571429</v>
      </c>
      <c r="AI40" s="49">
        <f t="shared" si="4"/>
        <v>0.7142857142857143</v>
      </c>
      <c r="AJ40" s="49">
        <f t="shared" si="5"/>
        <v>2</v>
      </c>
      <c r="AK40" s="49">
        <f t="shared" si="6"/>
        <v>0.4838709677419355</v>
      </c>
      <c r="AL40" s="49">
        <f t="shared" si="7"/>
        <v>6.466666666666667</v>
      </c>
      <c r="AM40" s="49">
        <f t="shared" si="8"/>
        <v>21.9</v>
      </c>
      <c r="AN40" s="49">
        <f t="shared" si="9"/>
        <v>27.85833333333333</v>
      </c>
      <c r="AO40" s="49">
        <f t="shared" si="10"/>
        <v>132.9565217391304</v>
      </c>
      <c r="AP40" s="49">
        <f t="shared" si="11"/>
        <v>35.4375</v>
      </c>
      <c r="AQ40" s="49">
        <f t="shared" si="12"/>
        <v>75</v>
      </c>
      <c r="AR40" s="100">
        <f t="shared" si="27"/>
        <v>0.32359365692962805</v>
      </c>
      <c r="AS40" s="49">
        <f t="shared" si="13"/>
        <v>4.838709677419355</v>
      </c>
      <c r="AT40" s="49">
        <f t="shared" si="14"/>
        <v>56.875</v>
      </c>
      <c r="AU40" s="49">
        <f t="shared" si="15"/>
        <v>0.06349206349206349</v>
      </c>
      <c r="AV40" s="49">
        <f t="shared" si="16"/>
        <v>0.061538461538461535</v>
      </c>
      <c r="AW40" s="100">
        <f t="shared" si="17"/>
        <v>9.285714285714286</v>
      </c>
      <c r="AX40" s="100">
        <f t="shared" si="28"/>
        <v>6.571428571428572</v>
      </c>
      <c r="AY40" s="100"/>
      <c r="AZ40" s="100">
        <f t="shared" si="29"/>
        <v>2.7142857142857144</v>
      </c>
      <c r="BA40" s="79"/>
      <c r="BB40" s="79"/>
      <c r="BC40" s="49">
        <f t="shared" si="18"/>
        <v>189.89580745341613</v>
      </c>
      <c r="BD40" s="49">
        <f t="shared" si="19"/>
        <v>112.4375</v>
      </c>
      <c r="BE40" s="101">
        <f t="shared" si="20"/>
        <v>25.620170038774503</v>
      </c>
      <c r="BF40" s="102">
        <f>(('[2]setup'!$B$13*'[2]setup'!$B$14*'[2]setup'!$B$15)/10^(-R40))*10^6</f>
        <v>36.64323464287438</v>
      </c>
      <c r="BG40" s="103">
        <f t="shared" si="37"/>
        <v>44.90764035200669</v>
      </c>
      <c r="BH40" s="102">
        <f t="shared" si="38"/>
        <v>77.45830745341613</v>
      </c>
      <c r="BI40" s="102">
        <f t="shared" si="39"/>
        <v>190.21940111034576</v>
      </c>
      <c r="BJ40" s="102">
        <f t="shared" si="40"/>
        <v>193.98837499488107</v>
      </c>
      <c r="BK40" s="30">
        <f t="shared" si="41"/>
        <v>0.9809728274482054</v>
      </c>
      <c r="BL40" s="101"/>
      <c r="BM40" s="49">
        <f>(3*('[2]setup'!$D$19*(10^-R40)^3)+2*('[2]setup'!$D$20*'[2]setup'!$D$19*((10^-R40)^2))+('[2]setup'!$D$21*'[2]setup'!$D$19*10^-R40)+('[2]setup'!$D$19*'[2]setup'!$D$22*(AP40/(10^6*2))*(10^-R40)^3))*10^6</f>
        <v>0.00036163067783191234</v>
      </c>
      <c r="BN40" s="100">
        <f t="shared" si="42"/>
        <v>41.139028098149225</v>
      </c>
      <c r="BO40" s="102">
        <f>(BN40/((('[2]setup'!$C$26)/10^-R40)+2*(('[2]setup'!$C$26*'[2]setup'!$C$27)/(10^-R40^2))+3*(('[2]setup'!$C$26*'[2]setup'!$C$27*'[2]setup'!$C$28)/(10^-R40^3))))/(10^-R40^3/(10^-R40^3+'[2]setup'!$C$26*10^-R40^2+'[2]setup'!$C$26*'[2]setup'!$C$27*10^-R40+'[2]setup'!$C$26*'[2]setup'!$C$27*'[2]setup'!$C$28))</f>
        <v>16.392486809079557</v>
      </c>
      <c r="BQ40" s="111">
        <f t="shared" si="30"/>
        <v>189.89580745341613</v>
      </c>
      <c r="BR40" s="111">
        <f t="shared" si="31"/>
        <v>112.4375</v>
      </c>
      <c r="BS40" s="111">
        <f t="shared" si="32"/>
        <v>1.6889010112588427</v>
      </c>
      <c r="BT40" s="111">
        <f t="shared" si="33"/>
        <v>76.7440217391304</v>
      </c>
      <c r="BU40" s="111">
        <f t="shared" si="34"/>
        <v>1.7727536231884053</v>
      </c>
    </row>
    <row r="41" spans="1:73" ht="12.75">
      <c r="A41" s="54">
        <v>39126</v>
      </c>
      <c r="B41" s="2" t="s">
        <v>46</v>
      </c>
      <c r="C41" s="2">
        <v>884449</v>
      </c>
      <c r="E41" s="77">
        <v>0.006</v>
      </c>
      <c r="F41" s="77">
        <v>0.002</v>
      </c>
      <c r="G41" s="77">
        <v>0.02</v>
      </c>
      <c r="H41" s="77">
        <v>2.92</v>
      </c>
      <c r="I41" s="77">
        <v>0.01</v>
      </c>
      <c r="J41" s="77">
        <v>0.051</v>
      </c>
      <c r="K41" s="77">
        <v>0.005</v>
      </c>
      <c r="L41" s="77">
        <v>0.24</v>
      </c>
      <c r="M41" s="77">
        <v>0.58</v>
      </c>
      <c r="N41" s="77">
        <v>0.32</v>
      </c>
      <c r="O41" s="77">
        <v>2.77</v>
      </c>
      <c r="P41" s="77">
        <v>0.704</v>
      </c>
      <c r="Q41" s="77">
        <v>3.031</v>
      </c>
      <c r="R41" s="77">
        <v>6.73</v>
      </c>
      <c r="S41" s="77">
        <v>18.9</v>
      </c>
      <c r="T41" s="77">
        <v>22.47</v>
      </c>
      <c r="U41" s="77">
        <v>0.05</v>
      </c>
      <c r="V41" s="77">
        <v>0.77</v>
      </c>
      <c r="W41" s="77">
        <v>0.002</v>
      </c>
      <c r="X41" s="77">
        <v>0.002</v>
      </c>
      <c r="Y41" s="77">
        <v>0.7</v>
      </c>
      <c r="Z41" s="77">
        <v>0.13</v>
      </c>
      <c r="AA41" s="77">
        <v>0.069</v>
      </c>
      <c r="AE41" s="49">
        <f t="shared" si="0"/>
        <v>0.2142857142857143</v>
      </c>
      <c r="AF41" s="49">
        <f t="shared" si="1"/>
        <v>0.07272727272727272</v>
      </c>
      <c r="AG41" s="49">
        <f t="shared" si="2"/>
        <v>2.2222222222222223</v>
      </c>
      <c r="AH41" s="49">
        <f t="shared" si="3"/>
        <v>417.14285714285717</v>
      </c>
      <c r="AI41" s="49">
        <f t="shared" si="4"/>
        <v>0.7142857142857143</v>
      </c>
      <c r="AJ41" s="49">
        <f t="shared" si="5"/>
        <v>3.6428571428571423</v>
      </c>
      <c r="AK41" s="49">
        <f t="shared" si="6"/>
        <v>0.4838709677419355</v>
      </c>
      <c r="AL41" s="49">
        <f t="shared" si="7"/>
        <v>6.153846153846154</v>
      </c>
      <c r="AM41" s="49">
        <f t="shared" si="8"/>
        <v>28.999999999999996</v>
      </c>
      <c r="AN41" s="49">
        <f t="shared" si="9"/>
        <v>26.666666666666668</v>
      </c>
      <c r="AO41" s="49">
        <f t="shared" si="10"/>
        <v>120.43478260869566</v>
      </c>
      <c r="AP41" s="49">
        <f t="shared" si="11"/>
        <v>44</v>
      </c>
      <c r="AQ41" s="49">
        <f t="shared" si="12"/>
        <v>86.60000000000001</v>
      </c>
      <c r="AR41" s="100">
        <f t="shared" si="27"/>
        <v>0.18620871366628652</v>
      </c>
      <c r="AS41" s="49">
        <f t="shared" si="13"/>
        <v>4.838709677419355</v>
      </c>
      <c r="AT41" s="49">
        <f t="shared" si="14"/>
        <v>48.125</v>
      </c>
      <c r="AU41" s="49">
        <f t="shared" si="15"/>
        <v>0.06349206349206349</v>
      </c>
      <c r="AV41" s="49">
        <f t="shared" si="16"/>
        <v>0.061538461538461535</v>
      </c>
      <c r="AW41" s="100">
        <f t="shared" si="17"/>
        <v>9.285714285714286</v>
      </c>
      <c r="AX41" s="100">
        <f t="shared" si="28"/>
        <v>4.92857142857143</v>
      </c>
      <c r="AY41" s="100"/>
      <c r="AZ41" s="100">
        <f t="shared" si="29"/>
        <v>4.357142857142857</v>
      </c>
      <c r="BA41" s="79"/>
      <c r="BB41" s="79"/>
      <c r="BC41" s="49">
        <f t="shared" si="18"/>
        <v>182.9695811434942</v>
      </c>
      <c r="BD41" s="49">
        <f t="shared" si="19"/>
        <v>134.24285714285713</v>
      </c>
      <c r="BE41" s="101">
        <f t="shared" si="20"/>
        <v>15.360912158384812</v>
      </c>
      <c r="BF41" s="102">
        <f>(('[2]setup'!$B$13*'[2]setup'!$B$14*'[2]setup'!$B$15)/10^(-R41))*10^6</f>
        <v>63.67864353044501</v>
      </c>
      <c r="BG41" s="103">
        <f t="shared" si="37"/>
        <v>6.77534889254698</v>
      </c>
      <c r="BH41" s="102">
        <f t="shared" si="38"/>
        <v>48.726724000637034</v>
      </c>
      <c r="BI41" s="102">
        <f t="shared" si="39"/>
        <v>183.15578985716047</v>
      </c>
      <c r="BJ41" s="102">
        <f t="shared" si="40"/>
        <v>204.69684956584916</v>
      </c>
      <c r="BK41" s="30">
        <f t="shared" si="41"/>
        <v>5.553928868637926</v>
      </c>
      <c r="BL41" s="101"/>
      <c r="BM41" s="49">
        <f>(3*('[2]setup'!$D$19*(10^-R41)^3)+2*('[2]setup'!$D$20*'[2]setup'!$D$19*((10^-R41)^2))+('[2]setup'!$D$21*'[2]setup'!$D$19*10^-R41)+('[2]setup'!$D$19*'[2]setup'!$D$22*(AP41/(10^6*2))*(10^-R41)^3))*10^6</f>
        <v>0.00018766276249627416</v>
      </c>
      <c r="BN41" s="100">
        <f t="shared" si="42"/>
        <v>-14.765523153379206</v>
      </c>
      <c r="BO41" s="102">
        <f>(BN41/((('[2]setup'!$C$26)/10^-R41)+2*(('[2]setup'!$C$26*'[2]setup'!$C$27)/(10^-R41^2))+3*(('[2]setup'!$C$26*'[2]setup'!$C$27*'[2]setup'!$C$28)/(10^-R41^3))))/(10^-R41^3/(10^-R41^3+'[2]setup'!$C$26*10^-R41^2+'[2]setup'!$C$26*'[2]setup'!$C$27*10^-R41+'[2]setup'!$C$26*'[2]setup'!$C$27*'[2]setup'!$C$28))</f>
        <v>-5.577924424025841</v>
      </c>
      <c r="BQ41" s="111">
        <f t="shared" si="30"/>
        <v>182.9695811434942</v>
      </c>
      <c r="BR41" s="111">
        <f t="shared" si="31"/>
        <v>134.24285714285713</v>
      </c>
      <c r="BS41" s="111">
        <f t="shared" si="32"/>
        <v>1.3629744258853458</v>
      </c>
      <c r="BT41" s="111">
        <f t="shared" si="33"/>
        <v>48.01243828635134</v>
      </c>
      <c r="BU41" s="111">
        <f t="shared" si="34"/>
        <v>1.390701877698564</v>
      </c>
    </row>
    <row r="42" spans="1:73" ht="12.75">
      <c r="A42" s="54">
        <v>39140</v>
      </c>
      <c r="B42" s="2" t="s">
        <v>46</v>
      </c>
      <c r="C42" s="2">
        <v>885317</v>
      </c>
      <c r="E42" s="77">
        <v>0.006</v>
      </c>
      <c r="F42" s="77">
        <v>0.002</v>
      </c>
      <c r="G42" s="77">
        <v>0.026</v>
      </c>
      <c r="H42" s="77">
        <v>2.64</v>
      </c>
      <c r="I42" s="77">
        <v>0.01</v>
      </c>
      <c r="J42" s="77">
        <v>0.037</v>
      </c>
      <c r="K42" s="77">
        <v>0.005</v>
      </c>
      <c r="L42" s="77">
        <v>0.18</v>
      </c>
      <c r="M42" s="77">
        <v>0.51</v>
      </c>
      <c r="N42" s="77">
        <v>0.27</v>
      </c>
      <c r="O42" s="77">
        <v>2.56</v>
      </c>
      <c r="P42" s="77">
        <v>0.638</v>
      </c>
      <c r="Q42" s="77">
        <v>3.111</v>
      </c>
      <c r="R42" s="77">
        <v>6.57</v>
      </c>
      <c r="S42" s="77">
        <v>18.7</v>
      </c>
      <c r="T42" s="77">
        <v>21.395</v>
      </c>
      <c r="U42" s="77">
        <v>0.06</v>
      </c>
      <c r="V42" s="77">
        <v>0.62</v>
      </c>
      <c r="W42" s="77">
        <v>0.002</v>
      </c>
      <c r="X42" s="77">
        <v>0.002</v>
      </c>
      <c r="Y42" s="77">
        <v>1.3</v>
      </c>
      <c r="Z42" s="77">
        <v>0.09</v>
      </c>
      <c r="AA42" s="77">
        <v>0.043</v>
      </c>
      <c r="AE42" s="49">
        <f t="shared" si="0"/>
        <v>0.2142857142857143</v>
      </c>
      <c r="AF42" s="49">
        <f t="shared" si="1"/>
        <v>0.07272727272727272</v>
      </c>
      <c r="AG42" s="49">
        <f t="shared" si="2"/>
        <v>2.888888888888889</v>
      </c>
      <c r="AH42" s="49">
        <f t="shared" si="3"/>
        <v>377.14285714285717</v>
      </c>
      <c r="AI42" s="49">
        <f t="shared" si="4"/>
        <v>0.7142857142857143</v>
      </c>
      <c r="AJ42" s="49">
        <f t="shared" si="5"/>
        <v>2.6428571428571423</v>
      </c>
      <c r="AK42" s="49">
        <f t="shared" si="6"/>
        <v>0.4838709677419355</v>
      </c>
      <c r="AL42" s="49">
        <f t="shared" si="7"/>
        <v>4.615384615384615</v>
      </c>
      <c r="AM42" s="49">
        <f t="shared" si="8"/>
        <v>25.500000000000004</v>
      </c>
      <c r="AN42" s="49">
        <f t="shared" si="9"/>
        <v>22.500000000000004</v>
      </c>
      <c r="AO42" s="49">
        <f t="shared" si="10"/>
        <v>111.30434782608697</v>
      </c>
      <c r="AP42" s="49">
        <f t="shared" si="11"/>
        <v>39.875</v>
      </c>
      <c r="AQ42" s="49">
        <f t="shared" si="12"/>
        <v>88.88571428571429</v>
      </c>
      <c r="AR42" s="100">
        <f t="shared" si="27"/>
        <v>0.2691534803926914</v>
      </c>
      <c r="AS42" s="49">
        <f t="shared" si="13"/>
        <v>5.806451612903225</v>
      </c>
      <c r="AT42" s="49">
        <f t="shared" si="14"/>
        <v>38.75</v>
      </c>
      <c r="AU42" s="49">
        <f t="shared" si="15"/>
        <v>0.06349206349206349</v>
      </c>
      <c r="AV42" s="49">
        <f t="shared" si="16"/>
        <v>0.061538461538461535</v>
      </c>
      <c r="AW42" s="100">
        <f t="shared" si="17"/>
        <v>6.428571428571429</v>
      </c>
      <c r="AX42" s="100">
        <f t="shared" si="28"/>
        <v>3.071428571428572</v>
      </c>
      <c r="AY42" s="100"/>
      <c r="AZ42" s="100">
        <f t="shared" si="29"/>
        <v>3.3571428571428568</v>
      </c>
      <c r="BA42" s="79"/>
      <c r="BB42" s="79"/>
      <c r="BC42" s="49">
        <f t="shared" si="18"/>
        <v>164.6340181557573</v>
      </c>
      <c r="BD42" s="49">
        <f t="shared" si="19"/>
        <v>131.4035714285714</v>
      </c>
      <c r="BE42" s="101">
        <f t="shared" si="20"/>
        <v>11.225076779555364</v>
      </c>
      <c r="BF42" s="102">
        <f>(('[2]setup'!$B$13*'[2]setup'!$B$14*'[2]setup'!$B$15)/10^(-R42))*10^6</f>
        <v>44.0548577804686</v>
      </c>
      <c r="BG42" s="103">
        <f t="shared" si="37"/>
        <v>12.48025265737268</v>
      </c>
      <c r="BH42" s="102">
        <f t="shared" si="38"/>
        <v>33.230446727185864</v>
      </c>
      <c r="BI42" s="102">
        <f t="shared" si="39"/>
        <v>164.90317163615</v>
      </c>
      <c r="BJ42" s="102">
        <f t="shared" si="40"/>
        <v>187.93868186641274</v>
      </c>
      <c r="BK42" s="30">
        <f t="shared" si="41"/>
        <v>6.528565135228613</v>
      </c>
      <c r="BL42" s="101"/>
      <c r="BM42" s="49">
        <f>(3*('[2]setup'!$D$19*(10^-R42)^3)+2*('[2]setup'!$D$20*'[2]setup'!$D$19*((10^-R42)^2))+('[2]setup'!$D$21*'[2]setup'!$D$19*10^-R42)+('[2]setup'!$D$19*'[2]setup'!$D$22*(AP42/(10^6*2))*(10^-R42)^3))*10^6</f>
        <v>0.00028872320546729824</v>
      </c>
      <c r="BN42" s="100">
        <f t="shared" si="42"/>
        <v>-10.55496884968457</v>
      </c>
      <c r="BO42" s="102">
        <f>(BN42/((('[2]setup'!$C$26)/10^-R42)+2*(('[2]setup'!$C$26*'[2]setup'!$C$27)/(10^-R42^2))+3*(('[2]setup'!$C$26*'[2]setup'!$C$27*'[2]setup'!$C$28)/(10^-R42^3))))/(10^-R42^3/(10^-R42^3+'[2]setup'!$C$26*10^-R42^2+'[2]setup'!$C$26*'[2]setup'!$C$27*10^-R42+'[2]setup'!$C$26*'[2]setup'!$C$27*'[2]setup'!$C$28))</f>
        <v>-4.127782747980346</v>
      </c>
      <c r="BQ42" s="111">
        <f t="shared" si="30"/>
        <v>164.6340181557573</v>
      </c>
      <c r="BR42" s="111">
        <f t="shared" si="31"/>
        <v>131.4035714285714</v>
      </c>
      <c r="BS42" s="111">
        <f t="shared" si="32"/>
        <v>1.2528884593159582</v>
      </c>
      <c r="BT42" s="111">
        <f t="shared" si="33"/>
        <v>32.51616101290017</v>
      </c>
      <c r="BU42" s="111">
        <f t="shared" si="34"/>
        <v>1.2522186351375904</v>
      </c>
    </row>
    <row r="43" spans="1:73" ht="12.75">
      <c r="A43" s="54">
        <v>39168</v>
      </c>
      <c r="B43" s="2" t="s">
        <v>46</v>
      </c>
      <c r="C43" s="2">
        <v>886503</v>
      </c>
      <c r="E43" s="77">
        <v>0.017</v>
      </c>
      <c r="F43" s="77">
        <v>0.002</v>
      </c>
      <c r="G43" s="77">
        <v>0.0297</v>
      </c>
      <c r="H43" s="77">
        <v>2.371</v>
      </c>
      <c r="I43" s="77">
        <v>0.01</v>
      </c>
      <c r="J43" s="77">
        <v>0.04475</v>
      </c>
      <c r="K43" s="77">
        <v>0.006</v>
      </c>
      <c r="L43" s="77">
        <v>0.2945</v>
      </c>
      <c r="M43" s="77">
        <v>0.7465</v>
      </c>
      <c r="N43" s="77">
        <v>0.3923</v>
      </c>
      <c r="O43" s="77">
        <v>3.285</v>
      </c>
      <c r="P43" s="77">
        <v>0.6503</v>
      </c>
      <c r="Q43" s="77">
        <v>4.486</v>
      </c>
      <c r="R43" s="77">
        <v>6.5</v>
      </c>
      <c r="S43" s="77">
        <v>18.5</v>
      </c>
      <c r="T43" s="77">
        <v>27.052</v>
      </c>
      <c r="U43" s="77">
        <v>0.05</v>
      </c>
      <c r="V43" s="77">
        <v>0.6922</v>
      </c>
      <c r="W43" s="77">
        <v>0.002</v>
      </c>
      <c r="X43" s="77">
        <v>0.002</v>
      </c>
      <c r="Y43" s="77">
        <v>1.641</v>
      </c>
      <c r="Z43" s="77">
        <v>0.1036</v>
      </c>
      <c r="AA43" s="77">
        <v>0.04885</v>
      </c>
      <c r="AE43" s="49">
        <f t="shared" si="0"/>
        <v>0.6071428571428572</v>
      </c>
      <c r="AF43" s="49">
        <f t="shared" si="1"/>
        <v>0.07272727272727272</v>
      </c>
      <c r="AG43" s="49">
        <f t="shared" si="2"/>
        <v>3.3</v>
      </c>
      <c r="AH43" s="49">
        <f t="shared" si="3"/>
        <v>338.71428571428567</v>
      </c>
      <c r="AI43" s="49">
        <f t="shared" si="4"/>
        <v>0.7142857142857143</v>
      </c>
      <c r="AJ43" s="49">
        <f t="shared" si="5"/>
        <v>3.1964285714285716</v>
      </c>
      <c r="AK43" s="49">
        <f t="shared" si="6"/>
        <v>0.5806451612903225</v>
      </c>
      <c r="AL43" s="49">
        <f t="shared" si="7"/>
        <v>7.551282051282051</v>
      </c>
      <c r="AM43" s="49">
        <f t="shared" si="8"/>
        <v>37.325</v>
      </c>
      <c r="AN43" s="49">
        <f t="shared" si="9"/>
        <v>32.69166666666667</v>
      </c>
      <c r="AO43" s="49">
        <f t="shared" si="10"/>
        <v>142.82608695652175</v>
      </c>
      <c r="AP43" s="49">
        <f t="shared" si="11"/>
        <v>40.64375</v>
      </c>
      <c r="AQ43" s="49">
        <f t="shared" si="12"/>
        <v>128.17142857142858</v>
      </c>
      <c r="AR43" s="100">
        <f t="shared" si="27"/>
        <v>0.31622776601683794</v>
      </c>
      <c r="AS43" s="49">
        <f t="shared" si="13"/>
        <v>4.838709677419355</v>
      </c>
      <c r="AT43" s="49">
        <f t="shared" si="14"/>
        <v>43.2625</v>
      </c>
      <c r="AU43" s="49">
        <f t="shared" si="15"/>
        <v>0.06349206349206349</v>
      </c>
      <c r="AV43" s="49">
        <f t="shared" si="16"/>
        <v>0.061538461538461535</v>
      </c>
      <c r="AW43" s="100">
        <f t="shared" si="17"/>
        <v>7.3999999999999995</v>
      </c>
      <c r="AX43" s="100">
        <f t="shared" si="28"/>
        <v>3.4892857142857134</v>
      </c>
      <c r="AY43" s="100"/>
      <c r="AZ43" s="100">
        <f t="shared" si="29"/>
        <v>3.910714285714286</v>
      </c>
      <c r="BA43" s="79"/>
      <c r="BB43" s="79"/>
      <c r="BC43" s="49">
        <f t="shared" si="18"/>
        <v>221.1083213887562</v>
      </c>
      <c r="BD43" s="49">
        <f t="shared" si="19"/>
        <v>172.01160714285714</v>
      </c>
      <c r="BE43" s="101">
        <f t="shared" si="20"/>
        <v>12.488991445762043</v>
      </c>
      <c r="BF43" s="102">
        <f>(('[2]setup'!$B$13*'[2]setup'!$B$14*'[2]setup'!$B$15)/10^(-R43))*10^6</f>
        <v>37.49676522455271</v>
      </c>
      <c r="BG43" s="103">
        <f t="shared" si="37"/>
        <v>15.68914283918681</v>
      </c>
      <c r="BH43" s="102">
        <f t="shared" si="38"/>
        <v>49.09671424589902</v>
      </c>
      <c r="BI43" s="102">
        <f t="shared" si="39"/>
        <v>221.42454915477305</v>
      </c>
      <c r="BJ43" s="102">
        <f t="shared" si="40"/>
        <v>225.1975152065967</v>
      </c>
      <c r="BK43" s="30">
        <f t="shared" si="41"/>
        <v>0.8447782482978462</v>
      </c>
      <c r="BL43" s="101"/>
      <c r="BM43" s="49">
        <f>(3*('[2]setup'!$D$19*(10^-R43)^3)+2*('[2]setup'!$D$20*'[2]setup'!$D$19*((10^-R43)^2))+('[2]setup'!$D$21*'[2]setup'!$D$19*10^-R43)+('[2]setup'!$D$19*'[2]setup'!$D$22*(AP43/(10^6*2))*(10^-R43)^3))*10^6</f>
        <v>0.0003514537458674988</v>
      </c>
      <c r="BN43" s="100">
        <f t="shared" si="42"/>
        <v>11.916528241109035</v>
      </c>
      <c r="BO43" s="102">
        <f>(BN43/((('[2]setup'!$C$26)/10^-R43)+2*(('[2]setup'!$C$26*'[2]setup'!$C$27)/(10^-R43^2))+3*(('[2]setup'!$C$26*'[2]setup'!$C$27*'[2]setup'!$C$28)/(10^-R43^3))))/(10^-R43^3/(10^-R43^3+'[2]setup'!$C$26*10^-R43^2+'[2]setup'!$C$26*'[2]setup'!$C$27*10^-R43+'[2]setup'!$C$26*'[2]setup'!$C$27*'[2]setup'!$C$28))</f>
        <v>4.737037714937005</v>
      </c>
      <c r="BQ43" s="111">
        <f t="shared" si="30"/>
        <v>221.1083213887562</v>
      </c>
      <c r="BR43" s="111">
        <f t="shared" si="31"/>
        <v>172.01160714285714</v>
      </c>
      <c r="BS43" s="111">
        <f t="shared" si="32"/>
        <v>1.285426751493135</v>
      </c>
      <c r="BT43" s="111">
        <f t="shared" si="33"/>
        <v>48.38242853161333</v>
      </c>
      <c r="BU43" s="111">
        <f t="shared" si="34"/>
        <v>1.114336389540406</v>
      </c>
    </row>
    <row r="44" spans="1:73" ht="12.75">
      <c r="A44" s="54">
        <v>39182</v>
      </c>
      <c r="B44" s="2" t="s">
        <v>46</v>
      </c>
      <c r="C44" s="2">
        <v>891252</v>
      </c>
      <c r="E44" s="77">
        <v>0.006</v>
      </c>
      <c r="F44" s="77">
        <v>0.002</v>
      </c>
      <c r="G44" s="77">
        <v>0.02</v>
      </c>
      <c r="H44" s="77">
        <v>4.87</v>
      </c>
      <c r="I44" s="77">
        <v>0.01</v>
      </c>
      <c r="J44" s="77">
        <v>0.087</v>
      </c>
      <c r="K44" s="77">
        <v>0.005</v>
      </c>
      <c r="L44" s="77">
        <v>0.271</v>
      </c>
      <c r="M44" s="77">
        <v>0.65</v>
      </c>
      <c r="N44" s="77">
        <v>0.3204</v>
      </c>
      <c r="O44" s="77">
        <v>3.151</v>
      </c>
      <c r="P44" s="77">
        <v>0.719</v>
      </c>
      <c r="Q44" s="77">
        <v>3.121</v>
      </c>
      <c r="R44" s="77">
        <v>6.63</v>
      </c>
      <c r="S44" s="77">
        <v>20</v>
      </c>
      <c r="T44" s="77">
        <v>22.601</v>
      </c>
      <c r="U44" s="77">
        <v>0.05</v>
      </c>
      <c r="V44" s="17"/>
      <c r="W44" s="77">
        <v>0.002</v>
      </c>
      <c r="X44" s="77">
        <v>0.002</v>
      </c>
      <c r="Y44" s="77">
        <v>0.9</v>
      </c>
      <c r="Z44" s="77">
        <v>0.18</v>
      </c>
      <c r="AA44" s="77">
        <v>0.083</v>
      </c>
      <c r="AE44" s="49">
        <f t="shared" si="0"/>
        <v>0.2142857142857143</v>
      </c>
      <c r="AF44" s="49">
        <f t="shared" si="1"/>
        <v>0.07272727272727272</v>
      </c>
      <c r="AG44" s="49">
        <f t="shared" si="2"/>
        <v>2.2222222222222223</v>
      </c>
      <c r="AH44" s="49">
        <f t="shared" si="3"/>
        <v>695.7142857142858</v>
      </c>
      <c r="AI44" s="49">
        <f t="shared" si="4"/>
        <v>0.7142857142857143</v>
      </c>
      <c r="AJ44" s="49">
        <f t="shared" si="5"/>
        <v>6.2142857142857135</v>
      </c>
      <c r="AK44" s="49">
        <f t="shared" si="6"/>
        <v>0.4838709677419355</v>
      </c>
      <c r="AL44" s="49">
        <f t="shared" si="7"/>
        <v>6.948717948717949</v>
      </c>
      <c r="AM44" s="49">
        <f t="shared" si="8"/>
        <v>32.5</v>
      </c>
      <c r="AN44" s="49">
        <f t="shared" si="9"/>
        <v>26.700000000000003</v>
      </c>
      <c r="AO44" s="49">
        <f t="shared" si="10"/>
        <v>136.99999999999997</v>
      </c>
      <c r="AP44" s="49">
        <f t="shared" si="11"/>
        <v>44.9375</v>
      </c>
      <c r="AQ44" s="49">
        <f t="shared" si="12"/>
        <v>89.17142857142856</v>
      </c>
      <c r="AR44" s="100">
        <f t="shared" si="27"/>
        <v>0.23442288153199223</v>
      </c>
      <c r="AS44" s="49">
        <f t="shared" si="13"/>
        <v>4.838709677419355</v>
      </c>
      <c r="AT44" s="49"/>
      <c r="AU44" s="49">
        <f t="shared" si="15"/>
        <v>0.06349206349206349</v>
      </c>
      <c r="AV44" s="49">
        <f t="shared" si="16"/>
        <v>0.061538461538461535</v>
      </c>
      <c r="AW44" s="100">
        <f t="shared" si="17"/>
        <v>12.857142857142858</v>
      </c>
      <c r="AX44" s="100">
        <f t="shared" si="28"/>
        <v>5.92857142857143</v>
      </c>
      <c r="AY44" s="100"/>
      <c r="AZ44" s="100">
        <f t="shared" si="29"/>
        <v>6.928571428571428</v>
      </c>
      <c r="BA44" s="79"/>
      <c r="BB44" s="79"/>
      <c r="BC44" s="49">
        <f t="shared" si="18"/>
        <v>203.86300366300364</v>
      </c>
      <c r="BD44" s="49">
        <f t="shared" si="19"/>
        <v>140.32321428571427</v>
      </c>
      <c r="BE44" s="101">
        <f t="shared" si="20"/>
        <v>18.46087555625382</v>
      </c>
      <c r="BF44" s="102">
        <f>(('[2]setup'!$B$13*'[2]setup'!$B$14*'[2]setup'!$B$15)/10^(-R44))*10^6</f>
        <v>50.58174450517504</v>
      </c>
      <c r="BG44" s="103">
        <f t="shared" si="37"/>
        <v>8.668396086457292</v>
      </c>
      <c r="BH44" s="102">
        <f t="shared" si="38"/>
        <v>63.53978937728937</v>
      </c>
      <c r="BI44" s="102">
        <f t="shared" si="39"/>
        <v>204.09742654453567</v>
      </c>
      <c r="BJ44" s="102">
        <f t="shared" si="40"/>
        <v>199.57335487734662</v>
      </c>
      <c r="BK44" s="30">
        <f t="shared" si="41"/>
        <v>1.1207330020898576</v>
      </c>
      <c r="BL44" s="101"/>
      <c r="BM44" s="49">
        <f>(3*('[2]setup'!$D$19*(10^-R44)^3)+2*('[2]setup'!$D$20*'[2]setup'!$D$19*((10^-R44)^2))+('[2]setup'!$D$21*'[2]setup'!$D$19*10^-R44)+('[2]setup'!$D$19*'[2]setup'!$D$22*(AP44/(10^6*2))*(10^-R44)^3))*10^6</f>
        <v>0.00024498072111187513</v>
      </c>
      <c r="BN44" s="100">
        <f t="shared" si="42"/>
        <v>13.192712734367433</v>
      </c>
      <c r="BO44" s="102">
        <f>(BN44/((('[2]setup'!$C$26)/10^-R44)+2*(('[2]setup'!$C$26*'[2]setup'!$C$27)/(10^-R44^2))+3*(('[2]setup'!$C$26*'[2]setup'!$C$27*'[2]setup'!$C$28)/(10^-R44^3))))/(10^-R44^3/(10^-R44^3+'[2]setup'!$C$26*10^-R44^2+'[2]setup'!$C$26*'[2]setup'!$C$27*10^-R44+'[2]setup'!$C$26*'[2]setup'!$C$27*'[2]setup'!$C$28))</f>
        <v>5.090259243403426</v>
      </c>
      <c r="BQ44" s="111">
        <f t="shared" si="30"/>
        <v>203.86300366300364</v>
      </c>
      <c r="BR44" s="111">
        <f t="shared" si="31"/>
        <v>140.32321428571427</v>
      </c>
      <c r="BS44" s="111">
        <f t="shared" si="32"/>
        <v>1.4528102474043605</v>
      </c>
      <c r="BT44" s="111">
        <f t="shared" si="33"/>
        <v>62.825503663003644</v>
      </c>
      <c r="BU44" s="111">
        <f t="shared" si="34"/>
        <v>1.536366549182954</v>
      </c>
    </row>
    <row r="45" spans="1:73" ht="12.75">
      <c r="A45" s="54">
        <v>39196</v>
      </c>
      <c r="B45" s="2" t="s">
        <v>46</v>
      </c>
      <c r="C45" s="2">
        <v>892435</v>
      </c>
      <c r="E45" s="77">
        <v>0.006</v>
      </c>
      <c r="F45" s="77">
        <v>0.002</v>
      </c>
      <c r="G45" s="77">
        <v>0.02</v>
      </c>
      <c r="H45" s="77">
        <v>4.97</v>
      </c>
      <c r="I45" s="77">
        <v>0.01</v>
      </c>
      <c r="J45" s="77">
        <v>0.025</v>
      </c>
      <c r="K45" s="77">
        <v>0.005</v>
      </c>
      <c r="L45" s="77">
        <v>0.37</v>
      </c>
      <c r="M45" s="77">
        <v>0.68</v>
      </c>
      <c r="N45" s="77">
        <v>0.2909</v>
      </c>
      <c r="O45" s="77">
        <v>4.097</v>
      </c>
      <c r="P45" s="77">
        <v>0.722</v>
      </c>
      <c r="Q45" s="77">
        <v>3.072</v>
      </c>
      <c r="R45" s="77">
        <v>6.74</v>
      </c>
      <c r="S45" s="77">
        <v>21.5</v>
      </c>
      <c r="T45" s="77">
        <v>23.454</v>
      </c>
      <c r="U45" s="77">
        <v>0.05</v>
      </c>
      <c r="V45" s="17"/>
      <c r="W45" s="77">
        <v>0.00273</v>
      </c>
      <c r="X45" s="77">
        <v>0.00299</v>
      </c>
      <c r="Y45" s="77">
        <v>0.8</v>
      </c>
      <c r="Z45" s="77">
        <v>0.15</v>
      </c>
      <c r="AA45" s="77">
        <v>0.115</v>
      </c>
      <c r="AE45" s="49">
        <f t="shared" si="0"/>
        <v>0.2142857142857143</v>
      </c>
      <c r="AF45" s="49">
        <f t="shared" si="1"/>
        <v>0.07272727272727272</v>
      </c>
      <c r="AG45" s="49">
        <f t="shared" si="2"/>
        <v>2.2222222222222223</v>
      </c>
      <c r="AH45" s="49">
        <f t="shared" si="3"/>
        <v>710</v>
      </c>
      <c r="AI45" s="49">
        <f t="shared" si="4"/>
        <v>0.7142857142857143</v>
      </c>
      <c r="AJ45" s="49">
        <f t="shared" si="5"/>
        <v>1.7857142857142858</v>
      </c>
      <c r="AK45" s="49">
        <f t="shared" si="6"/>
        <v>0.4838709677419355</v>
      </c>
      <c r="AL45" s="49">
        <f t="shared" si="7"/>
        <v>9.487179487179487</v>
      </c>
      <c r="AM45" s="49">
        <f t="shared" si="8"/>
        <v>34</v>
      </c>
      <c r="AN45" s="49">
        <f t="shared" si="9"/>
        <v>24.241666666666664</v>
      </c>
      <c r="AO45" s="49">
        <f t="shared" si="10"/>
        <v>178.13043478260872</v>
      </c>
      <c r="AP45" s="49">
        <f t="shared" si="11"/>
        <v>45.125</v>
      </c>
      <c r="AQ45" s="49">
        <f t="shared" si="12"/>
        <v>87.77142857142857</v>
      </c>
      <c r="AR45" s="100">
        <f t="shared" si="27"/>
        <v>0.18197008586099822</v>
      </c>
      <c r="AS45" s="49">
        <f t="shared" si="13"/>
        <v>4.838709677419355</v>
      </c>
      <c r="AT45" s="49"/>
      <c r="AU45" s="49">
        <f t="shared" si="15"/>
        <v>0.08666666666666666</v>
      </c>
      <c r="AV45" s="49">
        <f t="shared" si="16"/>
        <v>0.092</v>
      </c>
      <c r="AW45" s="100">
        <f t="shared" si="17"/>
        <v>10.714285714285714</v>
      </c>
      <c r="AX45" s="100">
        <f t="shared" si="28"/>
        <v>8.214285714285714</v>
      </c>
      <c r="AY45" s="100"/>
      <c r="AZ45" s="100">
        <f t="shared" si="29"/>
        <v>2.5</v>
      </c>
      <c r="BA45" s="79"/>
      <c r="BB45" s="79"/>
      <c r="BC45" s="49">
        <f t="shared" si="18"/>
        <v>246.5735666507406</v>
      </c>
      <c r="BD45" s="49">
        <f t="shared" si="19"/>
        <v>134.68214285714285</v>
      </c>
      <c r="BE45" s="101">
        <f t="shared" si="20"/>
        <v>29.348130664856072</v>
      </c>
      <c r="BF45" s="102">
        <f>(('[2]setup'!$B$13*'[2]setup'!$B$14*'[2]setup'!$B$15)/10^(-R45))*10^6</f>
        <v>65.16190968264843</v>
      </c>
      <c r="BG45" s="103">
        <f t="shared" si="37"/>
        <v>7.746810024999227</v>
      </c>
      <c r="BH45" s="102">
        <f t="shared" si="38"/>
        <v>111.89142379359771</v>
      </c>
      <c r="BI45" s="102">
        <f t="shared" si="39"/>
        <v>246.75553673660156</v>
      </c>
      <c r="BJ45" s="102">
        <f t="shared" si="40"/>
        <v>207.5908625647905</v>
      </c>
      <c r="BK45" s="30">
        <f t="shared" si="41"/>
        <v>8.620003202849427</v>
      </c>
      <c r="BL45" s="101"/>
      <c r="BM45" s="49">
        <f>(3*('[2]setup'!$D$19*(10^-R45)^3)+2*('[2]setup'!$D$20*'[2]setup'!$D$19*((10^-R45)^2))+('[2]setup'!$D$21*'[2]setup'!$D$19*10^-R45)+('[2]setup'!$D$19*'[2]setup'!$D$22*(AP45/(10^6*2))*(10^-R45)^3))*10^6</f>
        <v>0.00018280799642526847</v>
      </c>
      <c r="BN45" s="100">
        <f t="shared" si="42"/>
        <v>46.9116670048067</v>
      </c>
      <c r="BO45" s="102">
        <f>(BN45/((('[2]setup'!$C$26)/10^-R45)+2*(('[2]setup'!$C$26*'[2]setup'!$C$27)/(10^-R45^2))+3*(('[2]setup'!$C$26*'[2]setup'!$C$27*'[2]setup'!$C$28)/(10^-R45^3))))/(10^-R45^3/(10^-R45^3+'[2]setup'!$C$26*10^-R45^2+'[2]setup'!$C$26*'[2]setup'!$C$27*10^-R45+'[2]setup'!$C$26*'[2]setup'!$C$27*'[2]setup'!$C$28))</f>
        <v>17.686028427550927</v>
      </c>
      <c r="BQ45" s="111">
        <f t="shared" si="30"/>
        <v>246.5735666507406</v>
      </c>
      <c r="BR45" s="111">
        <f t="shared" si="31"/>
        <v>134.68214285714285</v>
      </c>
      <c r="BS45" s="111">
        <f t="shared" si="32"/>
        <v>1.8307814341228652</v>
      </c>
      <c r="BT45" s="111">
        <f t="shared" si="33"/>
        <v>111.17713807931202</v>
      </c>
      <c r="BU45" s="111">
        <f t="shared" si="34"/>
        <v>2.029480865036232</v>
      </c>
    </row>
    <row r="46" spans="1:73" ht="12.75">
      <c r="A46" s="54">
        <v>39224</v>
      </c>
      <c r="B46" s="2" t="s">
        <v>46</v>
      </c>
      <c r="C46" s="2">
        <v>893483</v>
      </c>
      <c r="E46" s="77">
        <v>0.007837</v>
      </c>
      <c r="F46" s="77">
        <v>0.002</v>
      </c>
      <c r="G46" s="77">
        <v>0.02</v>
      </c>
      <c r="H46" s="77">
        <v>3.708</v>
      </c>
      <c r="I46" s="77">
        <v>0.043</v>
      </c>
      <c r="J46" s="77">
        <v>0.025</v>
      </c>
      <c r="K46" s="77">
        <v>0.006</v>
      </c>
      <c r="L46" s="77">
        <v>0.4058</v>
      </c>
      <c r="M46" s="77">
        <v>0.7386</v>
      </c>
      <c r="N46" s="77">
        <v>0.3259</v>
      </c>
      <c r="O46" s="77">
        <v>3.954</v>
      </c>
      <c r="P46" s="77">
        <v>0.6591</v>
      </c>
      <c r="Q46" s="77">
        <v>3.062</v>
      </c>
      <c r="R46" s="77">
        <v>6.68</v>
      </c>
      <c r="S46" s="77">
        <v>19.3</v>
      </c>
      <c r="T46" s="77">
        <v>24.422</v>
      </c>
      <c r="U46" s="77">
        <v>0.05</v>
      </c>
      <c r="V46" s="69"/>
      <c r="W46" s="77">
        <v>0.002</v>
      </c>
      <c r="X46" s="77">
        <v>0.002</v>
      </c>
      <c r="Y46" s="77">
        <v>1.555</v>
      </c>
      <c r="Z46" s="77">
        <v>0.2886</v>
      </c>
      <c r="AA46" s="77">
        <v>0.22060000000000002</v>
      </c>
      <c r="AE46" s="49">
        <f t="shared" si="0"/>
        <v>0.2798928571428571</v>
      </c>
      <c r="AF46" s="49">
        <f t="shared" si="1"/>
        <v>0.07272727272727272</v>
      </c>
      <c r="AG46" s="49">
        <f t="shared" si="2"/>
        <v>2.2222222222222223</v>
      </c>
      <c r="AH46" s="49">
        <f t="shared" si="3"/>
        <v>529.7142857142857</v>
      </c>
      <c r="AI46" s="49">
        <f t="shared" si="4"/>
        <v>3.071428571428571</v>
      </c>
      <c r="AJ46" s="49">
        <f t="shared" si="5"/>
        <v>1.7857142857142858</v>
      </c>
      <c r="AK46" s="49">
        <f t="shared" si="6"/>
        <v>0.5806451612903225</v>
      </c>
      <c r="AL46" s="49">
        <f t="shared" si="7"/>
        <v>10.405128205128205</v>
      </c>
      <c r="AM46" s="49">
        <f t="shared" si="8"/>
        <v>36.93000000000001</v>
      </c>
      <c r="AN46" s="49">
        <f t="shared" si="9"/>
        <v>27.158333333333335</v>
      </c>
      <c r="AO46" s="49">
        <f t="shared" si="10"/>
        <v>171.9130434782609</v>
      </c>
      <c r="AP46" s="49">
        <f t="shared" si="11"/>
        <v>41.19375</v>
      </c>
      <c r="AQ46" s="49">
        <f t="shared" si="12"/>
        <v>87.48571428571428</v>
      </c>
      <c r="AR46" s="100">
        <f t="shared" si="27"/>
        <v>0.20892961308540403</v>
      </c>
      <c r="AS46" s="49">
        <f t="shared" si="13"/>
        <v>4.838709677419355</v>
      </c>
      <c r="AT46" s="107"/>
      <c r="AU46" s="49">
        <f t="shared" si="15"/>
        <v>0.06349206349206349</v>
      </c>
      <c r="AV46" s="49">
        <f t="shared" si="16"/>
        <v>0.061538461538461535</v>
      </c>
      <c r="AW46" s="100">
        <f t="shared" si="17"/>
        <v>20.614285714285717</v>
      </c>
      <c r="AX46" s="100">
        <f t="shared" si="28"/>
        <v>15.75714285714286</v>
      </c>
      <c r="AY46" s="100"/>
      <c r="AZ46" s="100">
        <f t="shared" si="29"/>
        <v>4.857142857142857</v>
      </c>
      <c r="BA46" s="79"/>
      <c r="BB46" s="79"/>
      <c r="BC46" s="107">
        <f t="shared" si="18"/>
        <v>249.47793358815105</v>
      </c>
      <c r="BD46" s="107">
        <f t="shared" si="19"/>
        <v>130.46517857142857</v>
      </c>
      <c r="BE46" s="106">
        <f t="shared" si="20"/>
        <v>31.32383538689761</v>
      </c>
      <c r="BF46" s="104">
        <f>(('[2]setup'!$B$13*'[2]setup'!$B$14*'[2]setup'!$B$15)/10^(-R46))*10^6</f>
        <v>56.75365078559331</v>
      </c>
      <c r="BG46" s="110">
        <f t="shared" si="37"/>
        <v>15.015121369818361</v>
      </c>
      <c r="BH46" s="104">
        <f t="shared" si="38"/>
        <v>119.01275501672245</v>
      </c>
      <c r="BI46" s="104">
        <f t="shared" si="39"/>
        <v>249.68686320123643</v>
      </c>
      <c r="BJ46" s="104">
        <f t="shared" si="40"/>
        <v>202.23395072684025</v>
      </c>
      <c r="BK46" s="105">
        <f t="shared" si="41"/>
        <v>10.500271510386403</v>
      </c>
      <c r="BL46" s="106"/>
      <c r="BM46" s="107">
        <f>(3*('[2]setup'!$D$19*(10^-R46)^3)+2*('[2]setup'!$D$20*'[2]setup'!$D$19*((10^-R46)^2))+('[2]setup'!$D$21*'[2]setup'!$D$19*10^-R46)+('[2]setup'!$D$19*'[2]setup'!$D$22*(AP46/(10^6*2))*(10^-R46)^3))*10^6</f>
        <v>0.0002141887617837065</v>
      </c>
      <c r="BN46" s="108">
        <f t="shared" si="42"/>
        <v>62.468248032976334</v>
      </c>
      <c r="BO46" s="104">
        <f>(BN46/((('[2]setup'!$C$26)/10^-R46)+2*(('[2]setup'!$C$26*'[2]setup'!$C$27)/(10^-R46^2))+3*(('[2]setup'!$C$26*'[2]setup'!$C$27*'[2]setup'!$C$28)/(10^-R46^3))))/(10^-R46^3/(10^-R46^3+'[2]setup'!$C$26*10^-R46^2+'[2]setup'!$C$26*'[2]setup'!$C$27*10^-R46+'[2]setup'!$C$26*'[2]setup'!$C$27*'[2]setup'!$C$28))</f>
        <v>23.84391305637407</v>
      </c>
      <c r="BQ46" s="111">
        <f t="shared" si="30"/>
        <v>249.47793358815102</v>
      </c>
      <c r="BR46" s="111">
        <f t="shared" si="31"/>
        <v>130.46517857142857</v>
      </c>
      <c r="BS46" s="111">
        <f t="shared" si="32"/>
        <v>1.9122185422952838</v>
      </c>
      <c r="BT46" s="111">
        <f t="shared" si="33"/>
        <v>115.9413264452939</v>
      </c>
      <c r="BU46" s="111">
        <f t="shared" si="34"/>
        <v>1.9650413199670582</v>
      </c>
    </row>
    <row r="47" spans="1:73" ht="12.75">
      <c r="A47" s="54">
        <v>39252</v>
      </c>
      <c r="B47" s="2" t="s">
        <v>46</v>
      </c>
      <c r="C47" s="2">
        <v>896804</v>
      </c>
      <c r="E47" s="77">
        <v>0.006</v>
      </c>
      <c r="F47" s="77">
        <v>0.002</v>
      </c>
      <c r="G47" s="77">
        <v>0.02</v>
      </c>
      <c r="H47" s="77">
        <v>2.924</v>
      </c>
      <c r="I47" s="77">
        <v>0.047</v>
      </c>
      <c r="J47" s="77">
        <v>0.025</v>
      </c>
      <c r="K47" s="77">
        <v>0.005</v>
      </c>
      <c r="L47" s="77">
        <v>0.2008</v>
      </c>
      <c r="M47" s="77">
        <v>0.6442</v>
      </c>
      <c r="N47" s="77">
        <v>0.3254</v>
      </c>
      <c r="O47" s="77">
        <v>3.075</v>
      </c>
      <c r="P47" s="77">
        <v>0.671</v>
      </c>
      <c r="Q47" s="77">
        <v>2.586</v>
      </c>
      <c r="R47" s="77">
        <v>6.66</v>
      </c>
      <c r="S47" s="77">
        <v>19.5</v>
      </c>
      <c r="T47" s="77">
        <v>22.122</v>
      </c>
      <c r="U47" s="77">
        <v>0.05</v>
      </c>
      <c r="V47" s="69"/>
      <c r="W47" s="77">
        <v>0.002</v>
      </c>
      <c r="X47" s="77">
        <v>0.002415</v>
      </c>
      <c r="Y47" s="77">
        <v>0.8615000000000002</v>
      </c>
      <c r="Z47" s="77">
        <v>0.0490180870585191</v>
      </c>
      <c r="AA47" s="77">
        <v>-0.022981912941480907</v>
      </c>
      <c r="AE47" s="49">
        <f t="shared" si="0"/>
        <v>0.2142857142857143</v>
      </c>
      <c r="AF47" s="49">
        <f t="shared" si="1"/>
        <v>0.07272727272727272</v>
      </c>
      <c r="AG47" s="49">
        <f t="shared" si="2"/>
        <v>2.2222222222222223</v>
      </c>
      <c r="AH47" s="49">
        <f t="shared" si="3"/>
        <v>417.7142857142857</v>
      </c>
      <c r="AI47" s="49">
        <f t="shared" si="4"/>
        <v>3.357142857142857</v>
      </c>
      <c r="AJ47" s="49">
        <f t="shared" si="5"/>
        <v>1.7857142857142858</v>
      </c>
      <c r="AK47" s="49">
        <f t="shared" si="6"/>
        <v>0.4838709677419355</v>
      </c>
      <c r="AL47" s="49">
        <f t="shared" si="7"/>
        <v>5.148717948717948</v>
      </c>
      <c r="AM47" s="49">
        <f t="shared" si="8"/>
        <v>32.21</v>
      </c>
      <c r="AN47" s="49">
        <f t="shared" si="9"/>
        <v>27.116666666666667</v>
      </c>
      <c r="AO47" s="49">
        <f t="shared" si="10"/>
        <v>133.69565217391306</v>
      </c>
      <c r="AP47" s="49">
        <f t="shared" si="11"/>
        <v>41.9375</v>
      </c>
      <c r="AQ47" s="49">
        <f t="shared" si="12"/>
        <v>73.88571428571427</v>
      </c>
      <c r="AR47" s="100">
        <f t="shared" si="27"/>
        <v>0.21877616239495515</v>
      </c>
      <c r="AS47" s="49">
        <f t="shared" si="13"/>
        <v>4.838709677419355</v>
      </c>
      <c r="AT47" s="49"/>
      <c r="AU47" s="49">
        <f t="shared" si="15"/>
        <v>0.06349206349206349</v>
      </c>
      <c r="AV47" s="49">
        <f t="shared" si="16"/>
        <v>0.07430769230769231</v>
      </c>
      <c r="AW47" s="100">
        <f t="shared" si="17"/>
        <v>3.5012919327513647</v>
      </c>
      <c r="AX47" s="100">
        <f t="shared" si="28"/>
        <v>-1.6415652101057785</v>
      </c>
      <c r="AY47" s="100"/>
      <c r="AZ47" s="100">
        <f t="shared" si="29"/>
        <v>5.142857142857143</v>
      </c>
      <c r="BA47" s="79"/>
      <c r="BB47" s="79"/>
      <c r="BC47" s="107">
        <f t="shared" si="18"/>
        <v>201.52817964644055</v>
      </c>
      <c r="BD47" s="107">
        <f t="shared" si="19"/>
        <v>117.60892857142855</v>
      </c>
      <c r="BE47" s="106">
        <f t="shared" si="20"/>
        <v>26.29567321194182</v>
      </c>
      <c r="BF47" s="104">
        <f>(('[2]setup'!$B$13*'[2]setup'!$B$14*'[2]setup'!$B$15)/10^(-R47))*10^6</f>
        <v>54.19931572989135</v>
      </c>
      <c r="BG47" s="110">
        <f t="shared" si="37"/>
        <v>8.310384012976211</v>
      </c>
      <c r="BH47" s="104">
        <f t="shared" si="38"/>
        <v>83.91925107501196</v>
      </c>
      <c r="BI47" s="104">
        <f t="shared" si="39"/>
        <v>201.74695580883548</v>
      </c>
      <c r="BJ47" s="104">
        <f t="shared" si="40"/>
        <v>180.11862831429613</v>
      </c>
      <c r="BK47" s="105">
        <f t="shared" si="41"/>
        <v>5.663858801050097</v>
      </c>
      <c r="BL47" s="106"/>
      <c r="BM47" s="107">
        <f>(3*('[2]setup'!$D$19*(10^-R47)^3)+2*('[2]setup'!$D$20*'[2]setup'!$D$19*((10^-R47)^2))+('[2]setup'!$D$21*'[2]setup'!$D$19*10^-R47)+('[2]setup'!$D$19*'[2]setup'!$D$22*(AP47/(10^6*2))*(10^-R47)^3))*10^6</f>
        <v>0.00022595125892555686</v>
      </c>
      <c r="BN47" s="108">
        <f t="shared" si="42"/>
        <v>29.93893745877449</v>
      </c>
      <c r="BO47" s="104">
        <f>(BN47/((('[2]setup'!$C$26)/10^-R47)+2*(('[2]setup'!$C$26*'[2]setup'!$C$27)/(10^-R47^2))+3*(('[2]setup'!$C$26*'[2]setup'!$C$27*'[2]setup'!$C$28)/(10^-R47^3))))/(10^-R47^3/(10^-R47^3+'[2]setup'!$C$26*10^-R47^2+'[2]setup'!$C$26*'[2]setup'!$C$27*10^-R47+'[2]setup'!$C$26*'[2]setup'!$C$27*'[2]setup'!$C$28))</f>
        <v>11.476445332000395</v>
      </c>
      <c r="BQ47" s="111">
        <f t="shared" si="30"/>
        <v>201.52817964644055</v>
      </c>
      <c r="BR47" s="111">
        <f t="shared" si="31"/>
        <v>117.60892857142855</v>
      </c>
      <c r="BS47" s="111">
        <f t="shared" si="32"/>
        <v>1.7135448991361615</v>
      </c>
      <c r="BT47" s="111">
        <f t="shared" si="33"/>
        <v>80.56210821786914</v>
      </c>
      <c r="BU47" s="111">
        <f t="shared" si="34"/>
        <v>1.8094925854937967</v>
      </c>
    </row>
    <row r="48" spans="1:73" ht="12.75">
      <c r="A48" s="54">
        <v>39293</v>
      </c>
      <c r="B48" s="2" t="s">
        <v>46</v>
      </c>
      <c r="C48" s="2">
        <v>901382</v>
      </c>
      <c r="E48" s="77">
        <v>0.007117</v>
      </c>
      <c r="F48" s="77">
        <v>0.002</v>
      </c>
      <c r="G48" s="77">
        <v>0.03843</v>
      </c>
      <c r="H48" s="77">
        <v>2.868</v>
      </c>
      <c r="I48" s="77">
        <v>0.016</v>
      </c>
      <c r="J48" s="77">
        <v>0.025</v>
      </c>
      <c r="K48" s="77">
        <v>0.005</v>
      </c>
      <c r="L48" s="77">
        <v>0.2062</v>
      </c>
      <c r="M48" s="77">
        <v>0.7268</v>
      </c>
      <c r="N48" s="77">
        <v>0.366</v>
      </c>
      <c r="O48" s="77">
        <v>2.956</v>
      </c>
      <c r="P48" s="77">
        <v>0.6347</v>
      </c>
      <c r="Q48" s="77">
        <v>2.523</v>
      </c>
      <c r="R48" s="77">
        <v>6.66</v>
      </c>
      <c r="S48" s="77">
        <v>19.1</v>
      </c>
      <c r="T48" s="77">
        <v>21.682</v>
      </c>
      <c r="U48" s="77">
        <v>0.05</v>
      </c>
      <c r="V48" s="69"/>
      <c r="W48" s="77">
        <v>0.002</v>
      </c>
      <c r="X48" s="77">
        <v>0.002136</v>
      </c>
      <c r="Y48" s="77">
        <v>1.529</v>
      </c>
      <c r="Z48" s="77">
        <v>0.07428</v>
      </c>
      <c r="AA48" s="77">
        <v>0.03328</v>
      </c>
      <c r="AE48" s="49">
        <f t="shared" si="0"/>
        <v>0.2541785714285714</v>
      </c>
      <c r="AF48" s="49">
        <f t="shared" si="1"/>
        <v>0.07272727272727272</v>
      </c>
      <c r="AG48" s="49">
        <f t="shared" si="2"/>
        <v>4.27</v>
      </c>
      <c r="AH48" s="49">
        <f t="shared" si="3"/>
        <v>409.7142857142857</v>
      </c>
      <c r="AI48" s="49">
        <f t="shared" si="4"/>
        <v>1.142857142857143</v>
      </c>
      <c r="AJ48" s="49">
        <f t="shared" si="5"/>
        <v>1.7857142857142858</v>
      </c>
      <c r="AK48" s="49">
        <f t="shared" si="6"/>
        <v>0.4838709677419355</v>
      </c>
      <c r="AL48" s="49">
        <f t="shared" si="7"/>
        <v>5.287179487179487</v>
      </c>
      <c r="AM48" s="49">
        <f t="shared" si="8"/>
        <v>36.339999999999996</v>
      </c>
      <c r="AN48" s="49">
        <f t="shared" si="9"/>
        <v>30.5</v>
      </c>
      <c r="AO48" s="49">
        <f t="shared" si="10"/>
        <v>128.52173913043478</v>
      </c>
      <c r="AP48" s="49">
        <f t="shared" si="11"/>
        <v>39.66875</v>
      </c>
      <c r="AQ48" s="49">
        <f t="shared" si="12"/>
        <v>72.08571428571429</v>
      </c>
      <c r="AR48" s="100">
        <f t="shared" si="27"/>
        <v>0.21877616239495515</v>
      </c>
      <c r="AS48" s="49">
        <f t="shared" si="13"/>
        <v>4.838709677419355</v>
      </c>
      <c r="AT48" s="49"/>
      <c r="AU48" s="49">
        <f t="shared" si="15"/>
        <v>0.06349206349206349</v>
      </c>
      <c r="AV48" s="49">
        <f t="shared" si="16"/>
        <v>0.06572307692307693</v>
      </c>
      <c r="AW48" s="100">
        <f t="shared" si="17"/>
        <v>5.305714285714286</v>
      </c>
      <c r="AX48" s="100">
        <f t="shared" si="28"/>
        <v>2.3771428571428572</v>
      </c>
      <c r="AY48" s="100"/>
      <c r="AZ48" s="100">
        <f t="shared" si="29"/>
        <v>2.928571428571429</v>
      </c>
      <c r="BA48" s="79"/>
      <c r="BB48" s="79"/>
      <c r="BC48" s="107">
        <f t="shared" si="18"/>
        <v>201.7917757604714</v>
      </c>
      <c r="BD48" s="107">
        <f t="shared" si="19"/>
        <v>113.54017857142858</v>
      </c>
      <c r="BE48" s="106">
        <f t="shared" si="20"/>
        <v>27.986886827255812</v>
      </c>
      <c r="BF48" s="104">
        <f>(('[2]setup'!$B$13*'[2]setup'!$B$14*'[2]setup'!$B$15)/10^(-R48))*10^6</f>
        <v>54.19931572989135</v>
      </c>
      <c r="BG48" s="110">
        <f t="shared" si="37"/>
        <v>14.749364081068629</v>
      </c>
      <c r="BH48" s="104">
        <f t="shared" si="38"/>
        <v>88.25159718904283</v>
      </c>
      <c r="BI48" s="104">
        <f t="shared" si="39"/>
        <v>202.01055192286637</v>
      </c>
      <c r="BJ48" s="104">
        <f t="shared" si="40"/>
        <v>182.48885838238857</v>
      </c>
      <c r="BK48" s="105">
        <f t="shared" si="41"/>
        <v>5.077171256252248</v>
      </c>
      <c r="BL48" s="106"/>
      <c r="BM48" s="107">
        <f>(3*('[2]setup'!$D$19*(10^-R48)^3)+2*('[2]setup'!$D$20*'[2]setup'!$D$19*((10^-R48)^2))+('[2]setup'!$D$21*'[2]setup'!$D$19*10^-R48)+('[2]setup'!$D$19*'[2]setup'!$D$22*(AP48/(10^6*2))*(10^-R48)^3))*10^6</f>
        <v>0.00022595027225178128</v>
      </c>
      <c r="BN48" s="108">
        <f t="shared" si="42"/>
        <v>34.27128357181866</v>
      </c>
      <c r="BO48" s="104">
        <f>(BN48/((('[2]setup'!$C$26)/10^-R48)+2*(('[2]setup'!$C$26*'[2]setup'!$C$27)/(10^-R48^2))+3*(('[2]setup'!$C$26*'[2]setup'!$C$27*'[2]setup'!$C$28)/(10^-R48^3))))/(10^-R48^3/(10^-R48^3+'[2]setup'!$C$26*10^-R48^2+'[2]setup'!$C$26*'[2]setup'!$C$27*10^-R48+'[2]setup'!$C$26*'[2]setup'!$C$27*'[2]setup'!$C$28))</f>
        <v>13.137156684703525</v>
      </c>
      <c r="BQ48" s="111">
        <f t="shared" si="30"/>
        <v>201.7917757604714</v>
      </c>
      <c r="BR48" s="111">
        <f t="shared" si="31"/>
        <v>113.54017857142858</v>
      </c>
      <c r="BS48" s="111">
        <f t="shared" si="32"/>
        <v>1.7772719604586793</v>
      </c>
      <c r="BT48" s="111">
        <f t="shared" si="33"/>
        <v>87.10874004618569</v>
      </c>
      <c r="BU48" s="111">
        <f t="shared" si="34"/>
        <v>1.7829016526219648</v>
      </c>
    </row>
    <row r="49" spans="1:73" ht="12.75">
      <c r="A49" s="54">
        <v>39329</v>
      </c>
      <c r="B49" s="2" t="s">
        <v>46</v>
      </c>
      <c r="C49" s="2">
        <v>903867</v>
      </c>
      <c r="E49" s="77">
        <v>0.006</v>
      </c>
      <c r="F49" s="77">
        <v>0.002</v>
      </c>
      <c r="G49" s="77">
        <v>0.02</v>
      </c>
      <c r="H49" s="77">
        <v>3.026</v>
      </c>
      <c r="I49" s="77">
        <v>0.01</v>
      </c>
      <c r="J49" s="77">
        <v>0.02675</v>
      </c>
      <c r="K49" s="77">
        <v>0.005</v>
      </c>
      <c r="L49" s="77">
        <v>0.2468</v>
      </c>
      <c r="M49" s="77">
        <v>0.6449</v>
      </c>
      <c r="N49" s="77">
        <v>0.327</v>
      </c>
      <c r="O49" s="77">
        <v>3.061</v>
      </c>
      <c r="P49" s="77">
        <v>0.6718</v>
      </c>
      <c r="Q49" s="77">
        <v>2.763</v>
      </c>
      <c r="R49" s="77">
        <v>6.73</v>
      </c>
      <c r="S49" s="77">
        <v>19.7</v>
      </c>
      <c r="T49" s="77">
        <v>22.449</v>
      </c>
      <c r="U49" s="77">
        <v>0.05</v>
      </c>
      <c r="V49" s="69"/>
      <c r="W49" s="77">
        <v>0.002</v>
      </c>
      <c r="X49" s="77">
        <v>0.003792</v>
      </c>
      <c r="Y49" s="77">
        <v>0.7003</v>
      </c>
      <c r="Z49" s="77">
        <v>0.1132</v>
      </c>
      <c r="AA49" s="77">
        <v>0.07644999999999999</v>
      </c>
      <c r="AE49" s="49">
        <f t="shared" si="0"/>
        <v>0.2142857142857143</v>
      </c>
      <c r="AF49" s="49">
        <f t="shared" si="1"/>
        <v>0.07272727272727272</v>
      </c>
      <c r="AG49" s="49">
        <f t="shared" si="2"/>
        <v>2.2222222222222223</v>
      </c>
      <c r="AH49" s="49">
        <f t="shared" si="3"/>
        <v>432.2857142857143</v>
      </c>
      <c r="AI49" s="49">
        <f t="shared" si="4"/>
        <v>0.7142857142857143</v>
      </c>
      <c r="AJ49" s="49">
        <f t="shared" si="5"/>
        <v>1.9107142857142858</v>
      </c>
      <c r="AK49" s="49">
        <f t="shared" si="6"/>
        <v>0.4838709677419355</v>
      </c>
      <c r="AL49" s="49">
        <f t="shared" si="7"/>
        <v>6.328205128205128</v>
      </c>
      <c r="AM49" s="49">
        <f t="shared" si="8"/>
        <v>32.245000000000005</v>
      </c>
      <c r="AN49" s="49">
        <f t="shared" si="9"/>
        <v>27.25</v>
      </c>
      <c r="AO49" s="49">
        <f t="shared" si="10"/>
        <v>133.08695652173913</v>
      </c>
      <c r="AP49" s="49">
        <f t="shared" si="11"/>
        <v>41.9875</v>
      </c>
      <c r="AQ49" s="49">
        <f t="shared" si="12"/>
        <v>78.94285714285714</v>
      </c>
      <c r="AR49" s="100">
        <f t="shared" si="27"/>
        <v>0.18620871366628652</v>
      </c>
      <c r="AS49" s="49">
        <f t="shared" si="13"/>
        <v>4.838709677419355</v>
      </c>
      <c r="AT49" s="49"/>
      <c r="AU49" s="49">
        <f t="shared" si="15"/>
        <v>0.06349206349206349</v>
      </c>
      <c r="AV49" s="49">
        <f t="shared" si="16"/>
        <v>0.11667692307692308</v>
      </c>
      <c r="AW49" s="100">
        <f t="shared" si="17"/>
        <v>8.085714285714285</v>
      </c>
      <c r="AX49" s="100">
        <f t="shared" si="28"/>
        <v>5.460714285714285</v>
      </c>
      <c r="AY49" s="100"/>
      <c r="AZ49" s="100">
        <f t="shared" si="29"/>
        <v>2.625</v>
      </c>
      <c r="BA49" s="79"/>
      <c r="BB49" s="79"/>
      <c r="BC49" s="107">
        <f t="shared" si="18"/>
        <v>199.62444736422998</v>
      </c>
      <c r="BD49" s="107">
        <f t="shared" si="19"/>
        <v>122.84107142857141</v>
      </c>
      <c r="BE49" s="106">
        <f t="shared" si="20"/>
        <v>23.811344612319726</v>
      </c>
      <c r="BF49" s="104">
        <f>(('[2]setup'!$B$13*'[2]setup'!$B$14*'[2]setup'!$B$15)/10^(-R49))*10^6</f>
        <v>63.67864353044501</v>
      </c>
      <c r="BG49" s="110">
        <f t="shared" si="37"/>
        <v>6.7782526135009284</v>
      </c>
      <c r="BH49" s="104">
        <f t="shared" si="38"/>
        <v>76.78337593565855</v>
      </c>
      <c r="BI49" s="104">
        <f t="shared" si="39"/>
        <v>199.81065607789625</v>
      </c>
      <c r="BJ49" s="104">
        <f t="shared" si="40"/>
        <v>193.29796757251736</v>
      </c>
      <c r="BK49" s="105">
        <f t="shared" si="41"/>
        <v>1.6567147382578256</v>
      </c>
      <c r="BL49" s="106"/>
      <c r="BM49" s="107">
        <f>(3*('[2]setup'!$D$19*(10^-R49)^3)+2*('[2]setup'!$D$20*'[2]setup'!$D$19*((10^-R49)^2))+('[2]setup'!$D$21*'[2]setup'!$D$19*10^-R49)+('[2]setup'!$D$19*'[2]setup'!$D$22*(AP49/(10^6*2))*(10^-R49)^3))*10^6</f>
        <v>0.00018766222283303957</v>
      </c>
      <c r="BN49" s="108">
        <f t="shared" si="42"/>
        <v>13.291128781102657</v>
      </c>
      <c r="BO49" s="104">
        <f>(BN49/((('[2]setup'!$C$26)/10^-R49)+2*(('[2]setup'!$C$26*'[2]setup'!$C$27)/(10^-R49^2))+3*(('[2]setup'!$C$26*'[2]setup'!$C$27*'[2]setup'!$C$28)/(10^-R49^3))))/(10^-R49^3/(10^-R49^3+'[2]setup'!$C$26*10^-R49^2+'[2]setup'!$C$26*'[2]setup'!$C$27*10^-R49+'[2]setup'!$C$26*'[2]setup'!$C$27*'[2]setup'!$C$28))</f>
        <v>5.020947180866972</v>
      </c>
      <c r="BQ49" s="111">
        <f t="shared" si="30"/>
        <v>199.62444736422998</v>
      </c>
      <c r="BR49" s="111">
        <f t="shared" si="31"/>
        <v>122.84107142857141</v>
      </c>
      <c r="BS49" s="111">
        <f t="shared" si="32"/>
        <v>1.625062733845544</v>
      </c>
      <c r="BT49" s="111">
        <f t="shared" si="33"/>
        <v>76.06909022137285</v>
      </c>
      <c r="BU49" s="111">
        <f t="shared" si="34"/>
        <v>1.685864451053518</v>
      </c>
    </row>
    <row r="50" spans="1:73" ht="12.75">
      <c r="A50" s="54">
        <v>39350</v>
      </c>
      <c r="B50" s="2" t="s">
        <v>46</v>
      </c>
      <c r="C50" s="2">
        <v>906156</v>
      </c>
      <c r="E50" s="77">
        <v>0.006</v>
      </c>
      <c r="F50" s="77">
        <v>0.002</v>
      </c>
      <c r="G50" s="77">
        <v>0.02</v>
      </c>
      <c r="H50" s="77">
        <v>3.129</v>
      </c>
      <c r="I50" s="77">
        <v>0.01</v>
      </c>
      <c r="J50" s="77">
        <v>0.025</v>
      </c>
      <c r="K50" s="77">
        <v>0.005</v>
      </c>
      <c r="L50" s="77">
        <v>0.2447</v>
      </c>
      <c r="M50" s="77">
        <v>0.7564</v>
      </c>
      <c r="N50" s="77">
        <v>0.3706</v>
      </c>
      <c r="O50" s="77">
        <v>2.918</v>
      </c>
      <c r="P50" s="77">
        <v>0.664187</v>
      </c>
      <c r="Q50" s="77">
        <v>2.94132</v>
      </c>
      <c r="R50" s="77">
        <v>6.73</v>
      </c>
      <c r="S50" s="77">
        <v>12.9</v>
      </c>
      <c r="T50" s="77">
        <v>22.676</v>
      </c>
      <c r="U50" s="77">
        <v>0.05</v>
      </c>
      <c r="V50" s="69"/>
      <c r="W50" s="77">
        <v>0.002</v>
      </c>
      <c r="X50" s="77">
        <v>0.003237</v>
      </c>
      <c r="Y50" s="77">
        <v>0.8454</v>
      </c>
      <c r="Z50" s="77">
        <v>0.1209</v>
      </c>
      <c r="AA50" s="77">
        <v>0.08589999999999999</v>
      </c>
      <c r="AE50" s="49">
        <f t="shared" si="0"/>
        <v>0.2142857142857143</v>
      </c>
      <c r="AF50" s="49">
        <f t="shared" si="1"/>
        <v>0.07272727272727272</v>
      </c>
      <c r="AG50" s="49">
        <f t="shared" si="2"/>
        <v>2.2222222222222223</v>
      </c>
      <c r="AH50" s="49">
        <f t="shared" si="3"/>
        <v>447</v>
      </c>
      <c r="AI50" s="49">
        <f t="shared" si="4"/>
        <v>0.7142857142857143</v>
      </c>
      <c r="AJ50" s="49">
        <f t="shared" si="5"/>
        <v>1.7857142857142858</v>
      </c>
      <c r="AK50" s="49">
        <f t="shared" si="6"/>
        <v>0.4838709677419355</v>
      </c>
      <c r="AL50" s="49">
        <f t="shared" si="7"/>
        <v>6.274358974358974</v>
      </c>
      <c r="AM50" s="49">
        <f t="shared" si="8"/>
        <v>37.82</v>
      </c>
      <c r="AN50" s="49">
        <f t="shared" si="9"/>
        <v>30.883333333333333</v>
      </c>
      <c r="AO50" s="49">
        <f t="shared" si="10"/>
        <v>126.86956521739131</v>
      </c>
      <c r="AP50" s="49">
        <f t="shared" si="11"/>
        <v>41.5116875</v>
      </c>
      <c r="AQ50" s="49">
        <f t="shared" si="12"/>
        <v>84.03771428571429</v>
      </c>
      <c r="AR50" s="100">
        <f t="shared" si="27"/>
        <v>0.18620871366628652</v>
      </c>
      <c r="AS50" s="49">
        <f t="shared" si="13"/>
        <v>4.838709677419355</v>
      </c>
      <c r="AT50" s="49"/>
      <c r="AU50" s="49">
        <f t="shared" si="15"/>
        <v>0.06349206349206349</v>
      </c>
      <c r="AV50" s="49">
        <f t="shared" si="16"/>
        <v>0.0996</v>
      </c>
      <c r="AW50" s="100">
        <f t="shared" si="17"/>
        <v>8.635714285714284</v>
      </c>
      <c r="AX50" s="100">
        <f t="shared" si="28"/>
        <v>6.135714285714284</v>
      </c>
      <c r="AY50" s="100"/>
      <c r="AZ50" s="100">
        <f t="shared" si="29"/>
        <v>2.5</v>
      </c>
      <c r="BA50" s="79"/>
      <c r="BB50" s="79"/>
      <c r="BC50" s="107">
        <f t="shared" si="18"/>
        <v>202.56154323936934</v>
      </c>
      <c r="BD50" s="107">
        <f t="shared" si="19"/>
        <v>127.33511607142857</v>
      </c>
      <c r="BE50" s="106">
        <f t="shared" si="20"/>
        <v>22.80302787093986</v>
      </c>
      <c r="BF50" s="104">
        <f>(('[2]setup'!$B$13*'[2]setup'!$B$14*'[2]setup'!$B$15)/10^(-R50))*10^6</f>
        <v>63.67864353044501</v>
      </c>
      <c r="BG50" s="110">
        <f t="shared" si="37"/>
        <v>8.182685648227453</v>
      </c>
      <c r="BH50" s="104">
        <f t="shared" si="38"/>
        <v>75.22642716794074</v>
      </c>
      <c r="BI50" s="104">
        <f t="shared" si="39"/>
        <v>202.7477519530356</v>
      </c>
      <c r="BJ50" s="104">
        <f t="shared" si="40"/>
        <v>199.19644525010105</v>
      </c>
      <c r="BK50" s="105">
        <f t="shared" si="41"/>
        <v>0.8835322732970721</v>
      </c>
      <c r="BL50" s="106"/>
      <c r="BM50" s="107">
        <f>(3*('[2]setup'!$D$19*(10^-R50)^3)+2*('[2]setup'!$D$20*'[2]setup'!$D$19*((10^-R50)^2))+('[2]setup'!$D$21*'[2]setup'!$D$19*10^-R50)+('[2]setup'!$D$19*'[2]setup'!$D$22*(AP50/(10^6*2))*(10^-R50)^3))*10^6</f>
        <v>0.00018766209524123195</v>
      </c>
      <c r="BN50" s="108">
        <f t="shared" si="42"/>
        <v>11.734180013257259</v>
      </c>
      <c r="BO50" s="104">
        <f>(BN50/((('[2]setup'!$C$26)/10^-R50)+2*(('[2]setup'!$C$26*'[2]setup'!$C$27)/(10^-R50^2))+3*(('[2]setup'!$C$26*'[2]setup'!$C$27*'[2]setup'!$C$28)/(10^-R50^3))))/(10^-R50^3/(10^-R50^3+'[2]setup'!$C$26*10^-R50^2+'[2]setup'!$C$26*'[2]setup'!$C$27*10^-R50+'[2]setup'!$C$26*'[2]setup'!$C$27*'[2]setup'!$C$28))</f>
        <v>4.432783627912584</v>
      </c>
      <c r="BQ50" s="111">
        <f t="shared" si="30"/>
        <v>202.56154323936934</v>
      </c>
      <c r="BR50" s="111">
        <f t="shared" si="31"/>
        <v>127.33511607142857</v>
      </c>
      <c r="BS50" s="111">
        <f t="shared" si="32"/>
        <v>1.5907751882500547</v>
      </c>
      <c r="BT50" s="111">
        <f t="shared" si="33"/>
        <v>74.51214145365505</v>
      </c>
      <c r="BU50" s="111">
        <f t="shared" si="34"/>
        <v>1.509674153988242</v>
      </c>
    </row>
    <row r="51" spans="1:73" ht="12.75">
      <c r="A51" s="54">
        <v>39364</v>
      </c>
      <c r="B51" s="2" t="s">
        <v>46</v>
      </c>
      <c r="C51" s="2">
        <v>907148</v>
      </c>
      <c r="E51" s="77">
        <v>0.006</v>
      </c>
      <c r="F51" s="77">
        <v>0.002</v>
      </c>
      <c r="G51" s="77">
        <v>0.02</v>
      </c>
      <c r="H51" s="77">
        <v>3.387</v>
      </c>
      <c r="I51" s="77">
        <v>0.022</v>
      </c>
      <c r="J51" s="77">
        <v>0.025</v>
      </c>
      <c r="K51" s="77">
        <v>0.005</v>
      </c>
      <c r="L51" s="77">
        <v>0.3109</v>
      </c>
      <c r="M51" s="77">
        <v>0.6926</v>
      </c>
      <c r="N51" s="77">
        <v>0.4471</v>
      </c>
      <c r="O51" s="77">
        <v>3.214</v>
      </c>
      <c r="P51" s="77">
        <v>0.712241</v>
      </c>
      <c r="Q51" s="77">
        <v>2.99459</v>
      </c>
      <c r="R51" s="77">
        <v>6.56</v>
      </c>
      <c r="S51" s="77">
        <v>13</v>
      </c>
      <c r="T51" s="77">
        <v>23.082</v>
      </c>
      <c r="U51" s="77">
        <v>0.05</v>
      </c>
      <c r="V51" s="69"/>
      <c r="W51" s="77">
        <v>0.002</v>
      </c>
      <c r="X51" s="77">
        <v>0.005733</v>
      </c>
      <c r="Y51" s="77">
        <v>0.7467</v>
      </c>
      <c r="Z51" s="77">
        <v>0.1183</v>
      </c>
      <c r="AA51" s="77">
        <v>0.0713</v>
      </c>
      <c r="AE51" s="49">
        <f t="shared" si="0"/>
        <v>0.2142857142857143</v>
      </c>
      <c r="AF51" s="49">
        <f t="shared" si="1"/>
        <v>0.07272727272727272</v>
      </c>
      <c r="AG51" s="49">
        <f t="shared" si="2"/>
        <v>2.2222222222222223</v>
      </c>
      <c r="AH51" s="49">
        <f t="shared" si="3"/>
        <v>483.8571428571429</v>
      </c>
      <c r="AI51" s="49">
        <f t="shared" si="4"/>
        <v>1.5714285714285712</v>
      </c>
      <c r="AJ51" s="49">
        <f t="shared" si="5"/>
        <v>1.7857142857142858</v>
      </c>
      <c r="AK51" s="49">
        <f t="shared" si="6"/>
        <v>0.4838709677419355</v>
      </c>
      <c r="AL51" s="49">
        <f t="shared" si="7"/>
        <v>7.971794871794872</v>
      </c>
      <c r="AM51" s="49">
        <f t="shared" si="8"/>
        <v>34.63</v>
      </c>
      <c r="AN51" s="49">
        <f t="shared" si="9"/>
        <v>37.25833333333333</v>
      </c>
      <c r="AO51" s="49">
        <f t="shared" si="10"/>
        <v>139.73913043478262</v>
      </c>
      <c r="AP51" s="49">
        <f t="shared" si="11"/>
        <v>44.5150625</v>
      </c>
      <c r="AQ51" s="49">
        <f t="shared" si="12"/>
        <v>85.55971428571429</v>
      </c>
      <c r="AR51" s="100">
        <f t="shared" si="27"/>
        <v>0.27542287033381685</v>
      </c>
      <c r="AS51" s="49">
        <f t="shared" si="13"/>
        <v>4.838709677419355</v>
      </c>
      <c r="AT51" s="49"/>
      <c r="AU51" s="49">
        <f t="shared" si="15"/>
        <v>0.06349206349206349</v>
      </c>
      <c r="AV51" s="49">
        <f t="shared" si="16"/>
        <v>0.1764</v>
      </c>
      <c r="AW51" s="100">
        <f t="shared" si="17"/>
        <v>8.450000000000001</v>
      </c>
      <c r="AX51" s="100">
        <f t="shared" si="28"/>
        <v>5.092857142857144</v>
      </c>
      <c r="AY51" s="100"/>
      <c r="AZ51" s="100">
        <f t="shared" si="29"/>
        <v>3.3571428571428568</v>
      </c>
      <c r="BA51" s="79"/>
      <c r="BB51" s="79"/>
      <c r="BC51" s="107">
        <f t="shared" si="18"/>
        <v>221.1706872113394</v>
      </c>
      <c r="BD51" s="107">
        <f t="shared" si="19"/>
        <v>131.86049107142858</v>
      </c>
      <c r="BE51" s="106">
        <f t="shared" si="20"/>
        <v>25.29810442645264</v>
      </c>
      <c r="BF51" s="104">
        <f>(('[2]setup'!$B$13*'[2]setup'!$B$14*'[2]setup'!$B$15)/10^(-R51))*10^6</f>
        <v>43.05204678698854</v>
      </c>
      <c r="BG51" s="110">
        <f t="shared" si="37"/>
        <v>7.164399664715539</v>
      </c>
      <c r="BH51" s="104">
        <f t="shared" si="38"/>
        <v>89.31019613991086</v>
      </c>
      <c r="BI51" s="104">
        <f t="shared" si="39"/>
        <v>221.44611008167323</v>
      </c>
      <c r="BJ51" s="104">
        <f t="shared" si="40"/>
        <v>182.07693752313264</v>
      </c>
      <c r="BK51" s="105">
        <f t="shared" si="41"/>
        <v>9.756362813034947</v>
      </c>
      <c r="BL51" s="106"/>
      <c r="BM51" s="107">
        <f>(3*('[2]setup'!$D$19*(10^-R51)^3)+2*('[2]setup'!$D$20*'[2]setup'!$D$19*((10^-R51)^2))+('[2]setup'!$D$21*'[2]setup'!$D$19*10^-R51)+('[2]setup'!$D$19*'[2]setup'!$D$22*(AP51/(10^6*2))*(10^-R51)^3))*10^6</f>
        <v>0.0002968501266123614</v>
      </c>
      <c r="BN51" s="108">
        <f t="shared" si="42"/>
        <v>46.53386907338273</v>
      </c>
      <c r="BO51" s="104">
        <f>(BN51/((('[2]setup'!$C$26)/10^-R51)+2*(('[2]setup'!$C$26*'[2]setup'!$C$27)/(10^-R51^2))+3*(('[2]setup'!$C$26*'[2]setup'!$C$27*'[2]setup'!$C$28)/(10^-R51^3))))/(10^-R51^3/(10^-R51^3+'[2]setup'!$C$26*10^-R51^2+'[2]setup'!$C$26*'[2]setup'!$C$27*10^-R51+'[2]setup'!$C$26*'[2]setup'!$C$27*'[2]setup'!$C$28))</f>
        <v>18.240075262719504</v>
      </c>
      <c r="BQ51" s="111">
        <f t="shared" si="30"/>
        <v>221.1706872113394</v>
      </c>
      <c r="BR51" s="111">
        <f t="shared" si="31"/>
        <v>131.86049107142858</v>
      </c>
      <c r="BS51" s="111">
        <f t="shared" si="32"/>
        <v>1.6773082324676893</v>
      </c>
      <c r="BT51" s="111">
        <f t="shared" si="33"/>
        <v>87.73876756848225</v>
      </c>
      <c r="BU51" s="111">
        <f t="shared" si="34"/>
        <v>1.6332351224098762</v>
      </c>
    </row>
    <row r="52" spans="1:73" ht="12.75">
      <c r="A52" s="54">
        <v>39428</v>
      </c>
      <c r="B52" s="2" t="s">
        <v>46</v>
      </c>
      <c r="C52" s="2">
        <v>913917</v>
      </c>
      <c r="E52" s="77">
        <v>0.009571</v>
      </c>
      <c r="F52" s="77">
        <v>0.002</v>
      </c>
      <c r="G52" s="77">
        <v>0.06431</v>
      </c>
      <c r="H52" s="77">
        <v>2.642</v>
      </c>
      <c r="I52" s="77">
        <v>0.012</v>
      </c>
      <c r="J52" s="77">
        <v>0.02533</v>
      </c>
      <c r="K52" s="77">
        <v>0.007</v>
      </c>
      <c r="L52" s="77">
        <v>0.2455</v>
      </c>
      <c r="M52" s="77">
        <v>0.7931</v>
      </c>
      <c r="N52" s="77">
        <v>0.4379</v>
      </c>
      <c r="O52" s="77">
        <v>3.001</v>
      </c>
      <c r="P52" s="77">
        <v>0.5589</v>
      </c>
      <c r="Q52" s="77">
        <v>3.086</v>
      </c>
      <c r="R52" s="77">
        <v>6.5</v>
      </c>
      <c r="S52" s="77">
        <v>15.3</v>
      </c>
      <c r="T52" s="77">
        <v>21.518</v>
      </c>
      <c r="U52" s="77">
        <v>0.05</v>
      </c>
      <c r="V52" s="69"/>
      <c r="W52" s="77">
        <v>0.002</v>
      </c>
      <c r="X52" s="77">
        <v>0.002335</v>
      </c>
      <c r="Y52" s="77">
        <v>2.442</v>
      </c>
      <c r="Z52" s="77">
        <v>0.101</v>
      </c>
      <c r="AA52" s="77">
        <v>0.06367</v>
      </c>
      <c r="AE52" s="49">
        <f t="shared" si="0"/>
        <v>0.3418214285714286</v>
      </c>
      <c r="AF52" s="49">
        <f t="shared" si="1"/>
        <v>0.07272727272727272</v>
      </c>
      <c r="AG52" s="49">
        <f t="shared" si="2"/>
        <v>7.145555555555556</v>
      </c>
      <c r="AH52" s="49">
        <f t="shared" si="3"/>
        <v>377.4285714285714</v>
      </c>
      <c r="AI52" s="49">
        <f t="shared" si="4"/>
        <v>0.8571428571428572</v>
      </c>
      <c r="AJ52" s="49">
        <f t="shared" si="5"/>
        <v>1.8092857142857142</v>
      </c>
      <c r="AK52" s="49">
        <f t="shared" si="6"/>
        <v>0.6774193548387097</v>
      </c>
      <c r="AL52" s="49">
        <f t="shared" si="7"/>
        <v>6.294871794871795</v>
      </c>
      <c r="AM52" s="49">
        <f t="shared" si="8"/>
        <v>39.655</v>
      </c>
      <c r="AN52" s="49">
        <f t="shared" si="9"/>
        <v>36.49166666666667</v>
      </c>
      <c r="AO52" s="49">
        <f t="shared" si="10"/>
        <v>130.47826086956522</v>
      </c>
      <c r="AP52" s="49">
        <f t="shared" si="11"/>
        <v>34.93125</v>
      </c>
      <c r="AQ52" s="49">
        <f t="shared" si="12"/>
        <v>88.17142857142856</v>
      </c>
      <c r="AR52" s="100">
        <f t="shared" si="27"/>
        <v>0.31622776601683794</v>
      </c>
      <c r="AS52" s="49">
        <f t="shared" si="13"/>
        <v>4.838709677419355</v>
      </c>
      <c r="AT52" s="49"/>
      <c r="AU52" s="49">
        <f t="shared" si="15"/>
        <v>0.06349206349206349</v>
      </c>
      <c r="AV52" s="49">
        <f t="shared" si="16"/>
        <v>0.07184615384615384</v>
      </c>
      <c r="AW52" s="100">
        <f t="shared" si="17"/>
        <v>7.214285714285714</v>
      </c>
      <c r="AX52" s="100">
        <f t="shared" si="28"/>
        <v>4.5478571428571435</v>
      </c>
      <c r="AY52" s="100"/>
      <c r="AZ52" s="100">
        <f t="shared" si="29"/>
        <v>2.6664285714285714</v>
      </c>
      <c r="BA52" s="79"/>
      <c r="BB52" s="79"/>
      <c r="BC52" s="107">
        <f t="shared" si="18"/>
        <v>213.77694218824655</v>
      </c>
      <c r="BD52" s="107">
        <f t="shared" si="19"/>
        <v>124.91196428571428</v>
      </c>
      <c r="BE52" s="106">
        <f t="shared" si="20"/>
        <v>26.237935817766267</v>
      </c>
      <c r="BF52" s="104">
        <f>(('[2]setup'!$B$13*'[2]setup'!$B$14*'[2]setup'!$B$15)/10^(-R52))*10^6</f>
        <v>37.49676522455271</v>
      </c>
      <c r="BG52" s="110">
        <f t="shared" si="37"/>
        <v>23.347280203104322</v>
      </c>
      <c r="BH52" s="104">
        <f t="shared" si="38"/>
        <v>88.86497790253227</v>
      </c>
      <c r="BI52" s="104">
        <f t="shared" si="39"/>
        <v>214.0931699542634</v>
      </c>
      <c r="BJ52" s="104">
        <f t="shared" si="40"/>
        <v>185.75600971337133</v>
      </c>
      <c r="BK52" s="105">
        <f t="shared" si="41"/>
        <v>7.086962205211143</v>
      </c>
      <c r="BL52" s="106"/>
      <c r="BM52" s="107">
        <f>(3*('[2]setup'!$D$19*(10^-R52)^3)+2*('[2]setup'!$D$20*'[2]setup'!$D$19*((10^-R52)^2))+('[2]setup'!$D$21*'[2]setup'!$D$19*10^-R52)+('[2]setup'!$D$19*'[2]setup'!$D$22*(AP52/(10^6*2))*(10^-R52)^3))*10^6</f>
        <v>0.0003514462432439457</v>
      </c>
      <c r="BN52" s="108">
        <f t="shared" si="42"/>
        <v>51.684791890239666</v>
      </c>
      <c r="BO52" s="104">
        <f>(BN52/((('[2]setup'!$C$26)/10^-R52)+2*(('[2]setup'!$C$26*'[2]setup'!$C$27)/(10^-R52^2))+3*(('[2]setup'!$C$26*'[2]setup'!$C$27*'[2]setup'!$C$28)/(10^-R52^3))))/(10^-R52^3/(10^-R52^3+'[2]setup'!$C$26*10^-R52^2+'[2]setup'!$C$26*'[2]setup'!$C$27*10^-R52+'[2]setup'!$C$26*'[2]setup'!$C$27*'[2]setup'!$C$28))</f>
        <v>20.54564916215477</v>
      </c>
      <c r="BQ52" s="111">
        <f t="shared" si="30"/>
        <v>213.77694218824655</v>
      </c>
      <c r="BR52" s="111">
        <f t="shared" si="31"/>
        <v>124.91196428571428</v>
      </c>
      <c r="BS52" s="111">
        <f t="shared" si="32"/>
        <v>1.7114208667735715</v>
      </c>
      <c r="BT52" s="111">
        <f t="shared" si="33"/>
        <v>88.00783504538941</v>
      </c>
      <c r="BU52" s="111">
        <f t="shared" si="34"/>
        <v>1.4798247344247515</v>
      </c>
    </row>
    <row r="53" spans="1:73" s="81" customFormat="1" ht="12.75">
      <c r="A53" s="82">
        <v>39497</v>
      </c>
      <c r="B53" s="2" t="s">
        <v>46</v>
      </c>
      <c r="C53" s="76">
        <v>922889</v>
      </c>
      <c r="E53" s="121">
        <v>0.006</v>
      </c>
      <c r="F53" s="121">
        <v>0.002</v>
      </c>
      <c r="G53" s="121">
        <v>0.02</v>
      </c>
      <c r="H53" s="121">
        <v>3.008</v>
      </c>
      <c r="I53" s="77">
        <v>0.01</v>
      </c>
      <c r="J53" s="88">
        <v>0.04343</v>
      </c>
      <c r="K53" s="77">
        <v>0.005</v>
      </c>
      <c r="L53" s="121">
        <v>0.2432</v>
      </c>
      <c r="M53" s="121">
        <v>0.5059</v>
      </c>
      <c r="N53" s="121">
        <v>0.2795</v>
      </c>
      <c r="O53" s="121">
        <v>2.536</v>
      </c>
      <c r="P53" s="77">
        <v>0.6868</v>
      </c>
      <c r="Q53" s="88">
        <v>3.008</v>
      </c>
      <c r="R53" s="88">
        <v>6.71</v>
      </c>
      <c r="S53" s="88">
        <v>18.9</v>
      </c>
      <c r="T53" s="88">
        <v>22.322</v>
      </c>
      <c r="U53" s="121">
        <v>0.05</v>
      </c>
      <c r="V53" s="121"/>
      <c r="W53" s="121">
        <v>0.002</v>
      </c>
      <c r="X53" s="121">
        <v>0.002</v>
      </c>
      <c r="Y53" s="77">
        <v>0.7096</v>
      </c>
      <c r="Z53" s="77">
        <v>0.1133</v>
      </c>
      <c r="AA53" s="77">
        <v>0.05986999999999999</v>
      </c>
      <c r="AE53" s="49">
        <f t="shared" si="0"/>
        <v>0.2142857142857143</v>
      </c>
      <c r="AF53" s="49">
        <f t="shared" si="1"/>
        <v>0.07272727272727272</v>
      </c>
      <c r="AG53" s="49">
        <f t="shared" si="2"/>
        <v>2.2222222222222223</v>
      </c>
      <c r="AH53" s="49">
        <f t="shared" si="3"/>
        <v>429.7142857142857</v>
      </c>
      <c r="AI53" s="49">
        <f t="shared" si="4"/>
        <v>0.7142857142857143</v>
      </c>
      <c r="AJ53" s="49">
        <f t="shared" si="5"/>
        <v>3.1021428571428578</v>
      </c>
      <c r="AK53" s="49">
        <f t="shared" si="6"/>
        <v>0.4838709677419355</v>
      </c>
      <c r="AL53" s="49">
        <f t="shared" si="7"/>
        <v>6.235897435897436</v>
      </c>
      <c r="AM53" s="49">
        <f t="shared" si="8"/>
        <v>25.295</v>
      </c>
      <c r="AN53" s="49">
        <f t="shared" si="9"/>
        <v>23.291666666666668</v>
      </c>
      <c r="AO53" s="49">
        <f t="shared" si="10"/>
        <v>110.2608695652174</v>
      </c>
      <c r="AP53" s="49">
        <f t="shared" si="11"/>
        <v>42.925</v>
      </c>
      <c r="AQ53" s="49">
        <f t="shared" si="12"/>
        <v>85.94285714285714</v>
      </c>
      <c r="AR53" s="100">
        <f aca="true" t="shared" si="43" ref="AR53:AR79">SUM(10^(6-R53))</f>
        <v>0.1949844599758045</v>
      </c>
      <c r="AS53" s="49">
        <f t="shared" si="13"/>
        <v>4.838709677419355</v>
      </c>
      <c r="AT53" s="49"/>
      <c r="AU53" s="49">
        <f t="shared" si="15"/>
        <v>0.06349206349206349</v>
      </c>
      <c r="AV53" s="49">
        <f t="shared" si="16"/>
        <v>0.061538461538461535</v>
      </c>
      <c r="AW53" s="100">
        <f t="shared" si="17"/>
        <v>8.092857142857143</v>
      </c>
      <c r="AX53" s="100">
        <f aca="true" t="shared" si="44" ref="AX53:AX79">AW53-(AI53+AJ53)</f>
        <v>4.276428571428571</v>
      </c>
      <c r="AY53" s="100"/>
      <c r="AZ53" s="100">
        <f aca="true" t="shared" si="45" ref="AZ53:AZ79">AI53+AJ53</f>
        <v>3.816428571428572</v>
      </c>
      <c r="BA53" s="79"/>
      <c r="BB53" s="79"/>
      <c r="BC53" s="107">
        <f aca="true" t="shared" si="46" ref="BC53:BC79">AL53+AM53+AN53+AO53+AI53</f>
        <v>165.7977193820672</v>
      </c>
      <c r="BD53" s="107">
        <f aca="true" t="shared" si="47" ref="BD53:BD79">AJ53+AP53+AQ53</f>
        <v>131.97</v>
      </c>
      <c r="BE53" s="106">
        <f aca="true" t="shared" si="48" ref="BE53:BE79">ABS(BC53-BD53)/(BC53+BD53)*100</f>
        <v>11.360438751476181</v>
      </c>
      <c r="BF53" s="104">
        <f>(('[2]setup'!$B$13*'[2]setup'!$B$14*'[2]setup'!$B$15)/10^(-R53))*10^6</f>
        <v>60.81263245947677</v>
      </c>
      <c r="BG53" s="110">
        <f aca="true" t="shared" si="49" ref="BG53:BG79">((10^-(0.96+0.9*R53-0.039*R53^2))*Y53*10)/((10^-(0.96+0.9*R53-0.039*R53^2))+10^(-R53))</f>
        <v>6.8618462680623065</v>
      </c>
      <c r="BH53" s="104">
        <f aca="true" t="shared" si="50" ref="BH53:BH79">(AM53+AN53+AO53+AL53+AI53)-(AP53+AQ53+AJ53)</f>
        <v>33.827719382067244</v>
      </c>
      <c r="BI53" s="104">
        <f aca="true" t="shared" si="51" ref="BI53:BI79">(AM53+AN53+AO53+AL53+AI53)+((10^-R53)*10^6)</f>
        <v>165.99270384204306</v>
      </c>
      <c r="BJ53" s="104">
        <f aca="true" t="shared" si="52" ref="BJ53:BJ79">(AP53+AQ53+AJ53+BG53+BF53)</f>
        <v>199.64447872753905</v>
      </c>
      <c r="BK53" s="105">
        <f aca="true" t="shared" si="53" ref="BK53:BK79">ABS(BI53-BJ53)/(BI53+BJ53)*100</f>
        <v>9.203597579710575</v>
      </c>
      <c r="BL53" s="106"/>
      <c r="BM53" s="107">
        <f>(3*('[2]setup'!$D$19*(10^-R53)^3)+2*('[2]setup'!$D$20*'[2]setup'!$D$19*((10^-R53)^2))+('[2]setup'!$D$21*'[2]setup'!$D$19*10^-R53)+('[2]setup'!$D$19*'[2]setup'!$D$22*(AP53/(10^6*2))*(10^-R53)^3))*10^6</f>
        <v>0.00019780752358306903</v>
      </c>
      <c r="BN53" s="108">
        <f aca="true" t="shared" si="54" ref="BN53:BN79">(AM53+AN53+AO53+AL53+AI53+(10^-R53)*10^6+BM53)-(AP53+AQ53+AJ53+BF53)</f>
        <v>-26.78973080991011</v>
      </c>
      <c r="BO53" s="104">
        <f>(BN53/((('[2]setup'!$C$26)/10^-R53)+2*(('[2]setup'!$C$26*'[2]setup'!$C$27)/(10^-R53^2))+3*(('[2]setup'!$C$26*'[2]setup'!$C$27*'[2]setup'!$C$28)/(10^-R53^3))))/(10^-R53^3/(10^-R53^3+'[2]setup'!$C$26*10^-R53^2+'[2]setup'!$C$26*'[2]setup'!$C$27*10^-R53+'[2]setup'!$C$26*'[2]setup'!$C$27*'[2]setup'!$C$28))</f>
        <v>-10.161684169596903</v>
      </c>
      <c r="BQ53" s="111">
        <f t="shared" si="30"/>
        <v>165.7977193820672</v>
      </c>
      <c r="BR53" s="111">
        <f t="shared" si="31"/>
        <v>131.97</v>
      </c>
      <c r="BS53" s="111">
        <f t="shared" si="32"/>
        <v>1.2563288579379193</v>
      </c>
      <c r="BT53" s="111">
        <f t="shared" si="33"/>
        <v>33.11343366778149</v>
      </c>
      <c r="BU53" s="111">
        <f t="shared" si="34"/>
        <v>1.2829555966697506</v>
      </c>
    </row>
    <row r="54" spans="1:73" s="81" customFormat="1" ht="12.75">
      <c r="A54" s="82">
        <v>39511</v>
      </c>
      <c r="B54" s="2" t="s">
        <v>46</v>
      </c>
      <c r="C54" s="78">
        <v>925473</v>
      </c>
      <c r="E54" s="121">
        <v>0.006</v>
      </c>
      <c r="F54" s="121">
        <v>0.002</v>
      </c>
      <c r="G54" s="121">
        <v>0.02</v>
      </c>
      <c r="H54" s="121">
        <v>2.919</v>
      </c>
      <c r="I54" s="77">
        <v>0.01</v>
      </c>
      <c r="J54" s="88">
        <v>0.03735</v>
      </c>
      <c r="K54" s="77">
        <v>0.005</v>
      </c>
      <c r="L54" s="121">
        <v>0.2575</v>
      </c>
      <c r="M54" s="121">
        <v>0.4973</v>
      </c>
      <c r="N54" s="121">
        <v>0.2615</v>
      </c>
      <c r="O54" s="121">
        <v>2.626</v>
      </c>
      <c r="P54" s="77">
        <v>0.6758</v>
      </c>
      <c r="Q54" s="88">
        <v>3.419</v>
      </c>
      <c r="R54" s="77">
        <v>6.59</v>
      </c>
      <c r="S54" s="77">
        <v>17.6</v>
      </c>
      <c r="T54" s="77">
        <v>21.644</v>
      </c>
      <c r="U54" s="121">
        <v>0.05</v>
      </c>
      <c r="V54" s="121"/>
      <c r="W54" s="121">
        <v>0.002</v>
      </c>
      <c r="X54" s="121">
        <v>0.002</v>
      </c>
      <c r="Y54" s="77">
        <v>1.159</v>
      </c>
      <c r="Z54" s="77">
        <v>0.1039</v>
      </c>
      <c r="AA54" s="77">
        <v>0.05655</v>
      </c>
      <c r="AE54" s="49">
        <f t="shared" si="0"/>
        <v>0.2142857142857143</v>
      </c>
      <c r="AF54" s="49">
        <f t="shared" si="1"/>
        <v>0.07272727272727272</v>
      </c>
      <c r="AG54" s="49">
        <f t="shared" si="2"/>
        <v>2.2222222222222223</v>
      </c>
      <c r="AH54" s="49">
        <f t="shared" si="3"/>
        <v>417</v>
      </c>
      <c r="AI54" s="49">
        <f t="shared" si="4"/>
        <v>0.7142857142857143</v>
      </c>
      <c r="AJ54" s="49">
        <f t="shared" si="5"/>
        <v>2.6678571428571427</v>
      </c>
      <c r="AK54" s="49">
        <f t="shared" si="6"/>
        <v>0.4838709677419355</v>
      </c>
      <c r="AL54" s="49">
        <f t="shared" si="7"/>
        <v>6.602564102564103</v>
      </c>
      <c r="AM54" s="49">
        <f t="shared" si="8"/>
        <v>24.865000000000002</v>
      </c>
      <c r="AN54" s="49">
        <f t="shared" si="9"/>
        <v>21.791666666666668</v>
      </c>
      <c r="AO54" s="49">
        <f t="shared" si="10"/>
        <v>114.17391304347825</v>
      </c>
      <c r="AP54" s="49">
        <f t="shared" si="11"/>
        <v>42.2375</v>
      </c>
      <c r="AQ54" s="49">
        <f t="shared" si="12"/>
        <v>97.6857142857143</v>
      </c>
      <c r="AR54" s="100">
        <f t="shared" si="43"/>
        <v>0.25703957827688645</v>
      </c>
      <c r="AS54" s="49">
        <f t="shared" si="13"/>
        <v>4.838709677419355</v>
      </c>
      <c r="AT54" s="49"/>
      <c r="AU54" s="49">
        <f t="shared" si="15"/>
        <v>0.06349206349206349</v>
      </c>
      <c r="AV54" s="49">
        <f t="shared" si="16"/>
        <v>0.061538461538461535</v>
      </c>
      <c r="AW54" s="100">
        <f t="shared" si="17"/>
        <v>7.421428571428572</v>
      </c>
      <c r="AX54" s="100">
        <f t="shared" si="44"/>
        <v>4.039285714285715</v>
      </c>
      <c r="AY54" s="100"/>
      <c r="AZ54" s="100">
        <f t="shared" si="45"/>
        <v>3.382142857142857</v>
      </c>
      <c r="BA54" s="79"/>
      <c r="BB54" s="79"/>
      <c r="BC54" s="107">
        <f t="shared" si="46"/>
        <v>168.14742952699476</v>
      </c>
      <c r="BD54" s="107">
        <f t="shared" si="47"/>
        <v>142.59107142857144</v>
      </c>
      <c r="BE54" s="106">
        <f t="shared" si="48"/>
        <v>8.224393829484852</v>
      </c>
      <c r="BF54" s="104">
        <f>(('[2]setup'!$B$13*'[2]setup'!$B$14*'[2]setup'!$B$15)/10^(-R54))*10^6</f>
        <v>46.13109926225088</v>
      </c>
      <c r="BG54" s="110">
        <f t="shared" si="49"/>
        <v>11.139026186201482</v>
      </c>
      <c r="BH54" s="104">
        <f t="shared" si="50"/>
        <v>25.556358098423317</v>
      </c>
      <c r="BI54" s="104">
        <f t="shared" si="51"/>
        <v>168.40446910527163</v>
      </c>
      <c r="BJ54" s="104">
        <f t="shared" si="52"/>
        <v>199.8611968770238</v>
      </c>
      <c r="BK54" s="105">
        <f t="shared" si="53"/>
        <v>8.541857326787682</v>
      </c>
      <c r="BL54" s="106"/>
      <c r="BM54" s="107">
        <f>(3*('[2]setup'!$D$19*(10^-R54)^3)+2*('[2]setup'!$D$20*'[2]setup'!$D$19*((10^-R54)^2))+('[2]setup'!$D$21*'[2]setup'!$D$19*10^-R54)+('[2]setup'!$D$19*'[2]setup'!$D$22*(AP54/(10^6*2))*(10^-R54)^3))*10^6</f>
        <v>0.00027322709384686243</v>
      </c>
      <c r="BN54" s="108">
        <f t="shared" si="54"/>
        <v>-20.317428358456823</v>
      </c>
      <c r="BO54" s="104">
        <f>(BN54/((('[2]setup'!$C$26)/10^-R54)+2*(('[2]setup'!$C$26*'[2]setup'!$C$27)/(10^-R54^2))+3*(('[2]setup'!$C$26*'[2]setup'!$C$27*'[2]setup'!$C$28)/(10^-R54^3))))/(10^-R54^3/(10^-R54^3+'[2]setup'!$C$26*10^-R54^2+'[2]setup'!$C$26*'[2]setup'!$C$27*10^-R54+'[2]setup'!$C$26*'[2]setup'!$C$27*'[2]setup'!$C$28))</f>
        <v>-7.9095448549021</v>
      </c>
      <c r="BQ54" s="111">
        <f t="shared" si="30"/>
        <v>168.14742952699476</v>
      </c>
      <c r="BR54" s="111">
        <f t="shared" si="31"/>
        <v>142.59107142857144</v>
      </c>
      <c r="BS54" s="111">
        <f t="shared" si="32"/>
        <v>1.1792283194339088</v>
      </c>
      <c r="BT54" s="111">
        <f t="shared" si="33"/>
        <v>24.842072384137595</v>
      </c>
      <c r="BU54" s="111">
        <f t="shared" si="34"/>
        <v>1.1687882294594145</v>
      </c>
    </row>
    <row r="55" spans="1:73" s="81" customFormat="1" ht="12.75">
      <c r="A55" s="82">
        <v>39525</v>
      </c>
      <c r="B55" s="2" t="s">
        <v>46</v>
      </c>
      <c r="C55" s="78">
        <v>928083</v>
      </c>
      <c r="E55" s="121">
        <v>0.006</v>
      </c>
      <c r="F55" s="121">
        <v>0.002</v>
      </c>
      <c r="G55" s="121">
        <v>0.02</v>
      </c>
      <c r="H55" s="121">
        <v>2.972</v>
      </c>
      <c r="I55" s="77">
        <v>0.01</v>
      </c>
      <c r="J55" s="88">
        <v>0.04348</v>
      </c>
      <c r="K55" s="77">
        <v>0.005</v>
      </c>
      <c r="L55" s="121">
        <v>0.2298</v>
      </c>
      <c r="M55" s="121">
        <v>0.4773</v>
      </c>
      <c r="N55" s="121">
        <v>0.2748</v>
      </c>
      <c r="O55" s="121">
        <v>2.812</v>
      </c>
      <c r="P55" s="77">
        <v>0.6492</v>
      </c>
      <c r="Q55" s="88">
        <v>2.912</v>
      </c>
      <c r="R55" s="88">
        <v>6.61</v>
      </c>
      <c r="S55" s="88">
        <v>18.9</v>
      </c>
      <c r="T55" s="88">
        <v>21.522</v>
      </c>
      <c r="U55" s="121">
        <v>0.05</v>
      </c>
      <c r="V55" s="121"/>
      <c r="W55" s="121">
        <v>0.002</v>
      </c>
      <c r="X55" s="121">
        <v>0.002</v>
      </c>
      <c r="Y55" s="77">
        <v>0.8668</v>
      </c>
      <c r="Z55" s="77">
        <v>0.01</v>
      </c>
      <c r="AA55" s="77">
        <v>-0.04348</v>
      </c>
      <c r="AB55" s="12"/>
      <c r="AE55" s="49">
        <f t="shared" si="0"/>
        <v>0.2142857142857143</v>
      </c>
      <c r="AF55" s="49">
        <f t="shared" si="1"/>
        <v>0.07272727272727272</v>
      </c>
      <c r="AG55" s="49">
        <f t="shared" si="2"/>
        <v>2.2222222222222223</v>
      </c>
      <c r="AH55" s="49">
        <f t="shared" si="3"/>
        <v>424.57142857142856</v>
      </c>
      <c r="AI55" s="49">
        <f t="shared" si="4"/>
        <v>0.7142857142857143</v>
      </c>
      <c r="AJ55" s="49">
        <f t="shared" si="5"/>
        <v>3.1057142857142854</v>
      </c>
      <c r="AK55" s="49">
        <f t="shared" si="6"/>
        <v>0.4838709677419355</v>
      </c>
      <c r="AL55" s="49">
        <f t="shared" si="7"/>
        <v>5.892307692307693</v>
      </c>
      <c r="AM55" s="49">
        <f t="shared" si="8"/>
        <v>23.865000000000002</v>
      </c>
      <c r="AN55" s="49">
        <f t="shared" si="9"/>
        <v>22.9</v>
      </c>
      <c r="AO55" s="49">
        <f t="shared" si="10"/>
        <v>122.26086956521738</v>
      </c>
      <c r="AP55" s="49">
        <f t="shared" si="11"/>
        <v>40.575</v>
      </c>
      <c r="AQ55" s="49">
        <f t="shared" si="12"/>
        <v>83.2</v>
      </c>
      <c r="AR55" s="100">
        <f t="shared" si="43"/>
        <v>0.24547089156850282</v>
      </c>
      <c r="AS55" s="49">
        <f t="shared" si="13"/>
        <v>4.838709677419355</v>
      </c>
      <c r="AT55" s="49"/>
      <c r="AU55" s="49">
        <f t="shared" si="15"/>
        <v>0.06349206349206349</v>
      </c>
      <c r="AV55" s="49">
        <f t="shared" si="16"/>
        <v>0.061538461538461535</v>
      </c>
      <c r="AW55" s="100">
        <f t="shared" si="17"/>
        <v>0.7142857142857143</v>
      </c>
      <c r="AX55" s="100">
        <f t="shared" si="44"/>
        <v>-3.1057142857142854</v>
      </c>
      <c r="AY55" s="100"/>
      <c r="AZ55" s="100">
        <f t="shared" si="45"/>
        <v>3.82</v>
      </c>
      <c r="BA55" s="79"/>
      <c r="BB55" s="79"/>
      <c r="BC55" s="107">
        <f t="shared" si="46"/>
        <v>175.6324629718108</v>
      </c>
      <c r="BD55" s="107">
        <f t="shared" si="47"/>
        <v>126.88071428571429</v>
      </c>
      <c r="BE55" s="106">
        <f t="shared" si="48"/>
        <v>16.11557854373889</v>
      </c>
      <c r="BF55" s="104">
        <f>(('[2]setup'!$B$13*'[2]setup'!$B$14*'[2]setup'!$B$15)/10^(-R55))*10^6</f>
        <v>48.30519099047277</v>
      </c>
      <c r="BG55" s="110">
        <f t="shared" si="49"/>
        <v>8.339781706490239</v>
      </c>
      <c r="BH55" s="104">
        <f t="shared" si="50"/>
        <v>48.75174868609649</v>
      </c>
      <c r="BI55" s="104">
        <f t="shared" si="51"/>
        <v>175.8779338633793</v>
      </c>
      <c r="BJ55" s="104">
        <f t="shared" si="52"/>
        <v>183.52568698267729</v>
      </c>
      <c r="BK55" s="105">
        <f t="shared" si="53"/>
        <v>2.1279009658541397</v>
      </c>
      <c r="BL55" s="106"/>
      <c r="BM55" s="107">
        <f>(3*('[2]setup'!$D$19*(10^-R55)^3)+2*('[2]setup'!$D$20*'[2]setup'!$D$19*((10^-R55)^2))+('[2]setup'!$D$21*'[2]setup'!$D$19*10^-R55)+('[2]setup'!$D$19*'[2]setup'!$D$22*(AP55/(10^6*2))*(10^-R55)^3))*10^6</f>
        <v>0.00025866612692069943</v>
      </c>
      <c r="BN55" s="108">
        <f t="shared" si="54"/>
        <v>0.6922872533191651</v>
      </c>
      <c r="BO55" s="104">
        <f>(BN55/((('[2]setup'!$C$26)/10^-R55)+2*(('[2]setup'!$C$26*'[2]setup'!$C$27)/(10^-R55^2))+3*(('[2]setup'!$C$26*'[2]setup'!$C$27*'[2]setup'!$C$28)/(10^-R55^3))))/(10^-R55^3/(10^-R55^3+'[2]setup'!$C$26*10^-R55^2+'[2]setup'!$C$26*'[2]setup'!$C$27*10^-R55+'[2]setup'!$C$26*'[2]setup'!$C$27*'[2]setup'!$C$28))</f>
        <v>0.2682978946915</v>
      </c>
      <c r="BQ55" s="111">
        <f t="shared" si="30"/>
        <v>175.63246297181078</v>
      </c>
      <c r="BR55" s="111">
        <f t="shared" si="31"/>
        <v>126.88071428571429</v>
      </c>
      <c r="BS55" s="111">
        <f t="shared" si="32"/>
        <v>1.3842329305958638</v>
      </c>
      <c r="BT55" s="111">
        <f t="shared" si="33"/>
        <v>48.0374629718108</v>
      </c>
      <c r="BU55" s="111">
        <f t="shared" si="34"/>
        <v>1.4694816053511703</v>
      </c>
    </row>
    <row r="56" spans="1:73" s="81" customFormat="1" ht="12.75">
      <c r="A56" s="82">
        <v>39535</v>
      </c>
      <c r="B56" s="2" t="s">
        <v>46</v>
      </c>
      <c r="C56" s="78">
        <v>929095</v>
      </c>
      <c r="E56" s="121">
        <v>0.006</v>
      </c>
      <c r="F56" s="121">
        <v>0.002</v>
      </c>
      <c r="G56" s="121">
        <v>0.02</v>
      </c>
      <c r="H56" s="121">
        <v>3.209</v>
      </c>
      <c r="I56" s="77">
        <v>0.01</v>
      </c>
      <c r="J56" s="88">
        <v>0.06339</v>
      </c>
      <c r="K56" s="77">
        <v>0.005</v>
      </c>
      <c r="L56" s="121">
        <v>0.1526</v>
      </c>
      <c r="M56" s="121">
        <v>0.6177</v>
      </c>
      <c r="N56" s="121">
        <v>0.2834</v>
      </c>
      <c r="O56" s="121">
        <v>2.732</v>
      </c>
      <c r="P56" s="77">
        <v>0.6603</v>
      </c>
      <c r="Q56" s="88">
        <v>2.76</v>
      </c>
      <c r="R56" s="88">
        <v>6.7</v>
      </c>
      <c r="S56" s="88">
        <v>17.4</v>
      </c>
      <c r="T56" s="88">
        <v>22.94</v>
      </c>
      <c r="U56" s="121">
        <v>0.05</v>
      </c>
      <c r="V56" s="121"/>
      <c r="W56" s="121">
        <v>0.002</v>
      </c>
      <c r="X56" s="121">
        <v>0.002</v>
      </c>
      <c r="Y56" s="77">
        <v>0.6477</v>
      </c>
      <c r="Z56" s="77">
        <v>0.01</v>
      </c>
      <c r="AA56" s="77">
        <v>-0.06339</v>
      </c>
      <c r="AB56" s="12"/>
      <c r="AE56" s="49">
        <f t="shared" si="0"/>
        <v>0.2142857142857143</v>
      </c>
      <c r="AF56" s="49">
        <f t="shared" si="1"/>
        <v>0.07272727272727272</v>
      </c>
      <c r="AG56" s="49">
        <f t="shared" si="2"/>
        <v>2.2222222222222223</v>
      </c>
      <c r="AH56" s="49">
        <f t="shared" si="3"/>
        <v>458.42857142857144</v>
      </c>
      <c r="AI56" s="49">
        <f t="shared" si="4"/>
        <v>0.7142857142857143</v>
      </c>
      <c r="AJ56" s="49">
        <f t="shared" si="5"/>
        <v>4.527857142857143</v>
      </c>
      <c r="AK56" s="49">
        <f t="shared" si="6"/>
        <v>0.4838709677419355</v>
      </c>
      <c r="AL56" s="49">
        <f t="shared" si="7"/>
        <v>3.9128205128205136</v>
      </c>
      <c r="AM56" s="49">
        <f t="shared" si="8"/>
        <v>30.885</v>
      </c>
      <c r="AN56" s="49">
        <f t="shared" si="9"/>
        <v>23.616666666666664</v>
      </c>
      <c r="AO56" s="49">
        <f t="shared" si="10"/>
        <v>118.78260869565219</v>
      </c>
      <c r="AP56" s="49">
        <f t="shared" si="11"/>
        <v>41.26875</v>
      </c>
      <c r="AQ56" s="49">
        <f t="shared" si="12"/>
        <v>78.85714285714285</v>
      </c>
      <c r="AR56" s="100">
        <f t="shared" si="43"/>
        <v>0.1995262314968878</v>
      </c>
      <c r="AS56" s="49">
        <f t="shared" si="13"/>
        <v>4.838709677419355</v>
      </c>
      <c r="AT56" s="49"/>
      <c r="AU56" s="49">
        <f t="shared" si="15"/>
        <v>0.06349206349206349</v>
      </c>
      <c r="AV56" s="49">
        <f t="shared" si="16"/>
        <v>0.061538461538461535</v>
      </c>
      <c r="AW56" s="100">
        <f t="shared" si="17"/>
        <v>0.7142857142857143</v>
      </c>
      <c r="AX56" s="100">
        <f t="shared" si="44"/>
        <v>-4.527857142857143</v>
      </c>
      <c r="AY56" s="100"/>
      <c r="AZ56" s="100">
        <f t="shared" si="45"/>
        <v>5.242142857142857</v>
      </c>
      <c r="BA56" s="79"/>
      <c r="BB56" s="79"/>
      <c r="BC56" s="107">
        <f t="shared" si="46"/>
        <v>177.9113815894251</v>
      </c>
      <c r="BD56" s="107">
        <f t="shared" si="47"/>
        <v>124.65374999999999</v>
      </c>
      <c r="BE56" s="106">
        <f t="shared" si="48"/>
        <v>17.60203871135246</v>
      </c>
      <c r="BF56" s="104">
        <f>(('[2]setup'!$B$13*'[2]setup'!$B$14*'[2]setup'!$B$15)/10^(-R56))*10^6</f>
        <v>59.428367943706206</v>
      </c>
      <c r="BG56" s="110">
        <f t="shared" si="49"/>
        <v>6.260287347499825</v>
      </c>
      <c r="BH56" s="104">
        <f t="shared" si="50"/>
        <v>53.25763158942509</v>
      </c>
      <c r="BI56" s="104">
        <f t="shared" si="51"/>
        <v>178.11090782092197</v>
      </c>
      <c r="BJ56" s="104">
        <f t="shared" si="52"/>
        <v>190.342405291206</v>
      </c>
      <c r="BK56" s="105">
        <f t="shared" si="53"/>
        <v>3.3196871991653776</v>
      </c>
      <c r="BL56" s="106"/>
      <c r="BM56" s="107">
        <f>(3*('[2]setup'!$D$19*(10^-R56)^3)+2*('[2]setup'!$D$20*'[2]setup'!$D$19*((10^-R56)^2))+('[2]setup'!$D$21*'[2]setup'!$D$19*10^-R56)+('[2]setup'!$D$19*'[2]setup'!$D$22*(AP56/(10^6*2))*(10^-R56)^3))*10^6</f>
        <v>0.00020310703568989693</v>
      </c>
      <c r="BN56" s="108">
        <f t="shared" si="54"/>
        <v>-5.971007015748512</v>
      </c>
      <c r="BO56" s="104">
        <f>(BN56/((('[2]setup'!$C$26)/10^-R56)+2*(('[2]setup'!$C$26*'[2]setup'!$C$27)/(10^-R56^2))+3*(('[2]setup'!$C$26*'[2]setup'!$C$27*'[2]setup'!$C$28)/(10^-R56^3))))/(10^-R56^3/(10^-R56^3+'[2]setup'!$C$26*10^-R56^2+'[2]setup'!$C$26*'[2]setup'!$C$27*10^-R56+'[2]setup'!$C$26*'[2]setup'!$C$27*'[2]setup'!$C$28))</f>
        <v>-2.2695717998092793</v>
      </c>
      <c r="BQ56" s="111">
        <f t="shared" si="30"/>
        <v>177.91138158942508</v>
      </c>
      <c r="BR56" s="111">
        <f t="shared" si="31"/>
        <v>124.65374999999999</v>
      </c>
      <c r="BS56" s="111">
        <f t="shared" si="32"/>
        <v>1.4272445200359003</v>
      </c>
      <c r="BT56" s="111">
        <f t="shared" si="33"/>
        <v>52.543345875139394</v>
      </c>
      <c r="BU56" s="111">
        <f t="shared" si="34"/>
        <v>1.5063011972274736</v>
      </c>
    </row>
    <row r="57" spans="1:73" s="81" customFormat="1" ht="12.75">
      <c r="A57" s="82">
        <v>39553</v>
      </c>
      <c r="B57" s="2" t="s">
        <v>46</v>
      </c>
      <c r="C57" s="78">
        <v>930999</v>
      </c>
      <c r="E57" s="121">
        <v>0.006</v>
      </c>
      <c r="F57" s="121">
        <v>0.002</v>
      </c>
      <c r="G57" s="121">
        <v>0.02097</v>
      </c>
      <c r="H57" s="121">
        <v>3.061</v>
      </c>
      <c r="I57" s="77">
        <v>0.01</v>
      </c>
      <c r="J57" s="88">
        <v>0.04086</v>
      </c>
      <c r="K57" s="77">
        <v>0.005</v>
      </c>
      <c r="L57" s="121">
        <v>0.1372</v>
      </c>
      <c r="M57" s="121">
        <v>0.5518</v>
      </c>
      <c r="N57" s="121">
        <v>0.2619</v>
      </c>
      <c r="O57" s="121">
        <v>2.611</v>
      </c>
      <c r="P57" s="77">
        <v>0.7717</v>
      </c>
      <c r="Q57" s="88">
        <v>3.777</v>
      </c>
      <c r="R57" s="77">
        <v>6.65</v>
      </c>
      <c r="S57" s="77">
        <v>18.6</v>
      </c>
      <c r="T57" s="77">
        <v>22.203</v>
      </c>
      <c r="U57" s="121">
        <v>0.05</v>
      </c>
      <c r="V57" s="121"/>
      <c r="W57" s="121">
        <v>0.002</v>
      </c>
      <c r="X57" s="121">
        <v>0.002</v>
      </c>
      <c r="Y57" s="77">
        <v>0.696</v>
      </c>
      <c r="Z57" s="77">
        <v>0.01</v>
      </c>
      <c r="AA57" s="77">
        <v>-0.04086</v>
      </c>
      <c r="AB57" s="12"/>
      <c r="AE57" s="49">
        <f t="shared" si="0"/>
        <v>0.2142857142857143</v>
      </c>
      <c r="AF57" s="49">
        <f t="shared" si="1"/>
        <v>0.07272727272727272</v>
      </c>
      <c r="AG57" s="49">
        <f t="shared" si="2"/>
        <v>2.3299999999999996</v>
      </c>
      <c r="AH57" s="49">
        <f t="shared" si="3"/>
        <v>437.2857142857143</v>
      </c>
      <c r="AI57" s="49">
        <f t="shared" si="4"/>
        <v>0.7142857142857143</v>
      </c>
      <c r="AJ57" s="49">
        <f t="shared" si="5"/>
        <v>2.9185714285714286</v>
      </c>
      <c r="AK57" s="49">
        <f t="shared" si="6"/>
        <v>0.4838709677419355</v>
      </c>
      <c r="AL57" s="49">
        <f t="shared" si="7"/>
        <v>3.517948717948718</v>
      </c>
      <c r="AM57" s="49">
        <f t="shared" si="8"/>
        <v>27.589999999999996</v>
      </c>
      <c r="AN57" s="49">
        <f t="shared" si="9"/>
        <v>21.825</v>
      </c>
      <c r="AO57" s="49">
        <f t="shared" si="10"/>
        <v>113.5217391304348</v>
      </c>
      <c r="AP57" s="49">
        <f t="shared" si="11"/>
        <v>48.23125</v>
      </c>
      <c r="AQ57" s="49">
        <f t="shared" si="12"/>
        <v>107.91428571428571</v>
      </c>
      <c r="AR57" s="100">
        <f t="shared" si="43"/>
        <v>0.22387211385683375</v>
      </c>
      <c r="AS57" s="49">
        <f t="shared" si="13"/>
        <v>4.838709677419355</v>
      </c>
      <c r="AT57" s="49"/>
      <c r="AU57" s="49">
        <f t="shared" si="15"/>
        <v>0.06349206349206349</v>
      </c>
      <c r="AV57" s="49">
        <f t="shared" si="16"/>
        <v>0.061538461538461535</v>
      </c>
      <c r="AW57" s="100">
        <f t="shared" si="17"/>
        <v>0.7142857142857143</v>
      </c>
      <c r="AX57" s="100">
        <f t="shared" si="44"/>
        <v>-2.9185714285714286</v>
      </c>
      <c r="AY57" s="100"/>
      <c r="AZ57" s="100">
        <f t="shared" si="45"/>
        <v>3.632857142857143</v>
      </c>
      <c r="BA57" s="79"/>
      <c r="BB57" s="79"/>
      <c r="BC57" s="107">
        <f t="shared" si="46"/>
        <v>167.16897356266924</v>
      </c>
      <c r="BD57" s="107">
        <f t="shared" si="47"/>
        <v>159.06410714285715</v>
      </c>
      <c r="BE57" s="106">
        <f t="shared" si="48"/>
        <v>2.4843790832873642</v>
      </c>
      <c r="BF57" s="104">
        <f>(('[2]setup'!$B$13*'[2]setup'!$B$14*'[2]setup'!$B$15)/10^(-R57))*10^6</f>
        <v>52.96558868158559</v>
      </c>
      <c r="BG57" s="110">
        <f t="shared" si="49"/>
        <v>6.710496216421684</v>
      </c>
      <c r="BH57" s="104">
        <f t="shared" si="50"/>
        <v>8.104866419812083</v>
      </c>
      <c r="BI57" s="104">
        <f t="shared" si="51"/>
        <v>167.39284567652604</v>
      </c>
      <c r="BJ57" s="104">
        <f t="shared" si="52"/>
        <v>218.7401920408644</v>
      </c>
      <c r="BK57" s="105">
        <f t="shared" si="53"/>
        <v>13.297838140936111</v>
      </c>
      <c r="BL57" s="106"/>
      <c r="BM57" s="107">
        <f>(3*('[2]setup'!$D$19*(10^-R57)^3)+2*('[2]setup'!$D$20*'[2]setup'!$D$19*((10^-R57)^2))+('[2]setup'!$D$21*'[2]setup'!$D$19*10^-R57)+('[2]setup'!$D$19*'[2]setup'!$D$22*(AP57/(10^6*2))*(10^-R57)^3))*10^6</f>
        <v>0.0002321056679963487</v>
      </c>
      <c r="BN57" s="108">
        <f t="shared" si="54"/>
        <v>-44.63661804224867</v>
      </c>
      <c r="BO57" s="104">
        <f>(BN57/((('[2]setup'!$C$26)/10^-R57)+2*(('[2]setup'!$C$26*'[2]setup'!$C$27)/(10^-R57^2))+3*(('[2]setup'!$C$26*'[2]setup'!$C$27*'[2]setup'!$C$28)/(10^-R57^3))))/(10^-R57^3/(10^-R57^3+'[2]setup'!$C$26*10^-R57^2+'[2]setup'!$C$26*'[2]setup'!$C$27*10^-R57+'[2]setup'!$C$26*'[2]setup'!$C$27*'[2]setup'!$C$28))</f>
        <v>-17.147466243160327</v>
      </c>
      <c r="BQ57" s="111">
        <f t="shared" si="30"/>
        <v>167.16897356266924</v>
      </c>
      <c r="BR57" s="111">
        <f t="shared" si="31"/>
        <v>159.06410714285715</v>
      </c>
      <c r="BS57" s="111">
        <f t="shared" si="32"/>
        <v>1.0509534587368161</v>
      </c>
      <c r="BT57" s="111">
        <f t="shared" si="33"/>
        <v>7.390580705526361</v>
      </c>
      <c r="BU57" s="111">
        <f t="shared" si="34"/>
        <v>1.051962104730002</v>
      </c>
    </row>
    <row r="58" spans="1:73" s="81" customFormat="1" ht="12.75">
      <c r="A58" s="82">
        <v>39575</v>
      </c>
      <c r="B58" s="2" t="s">
        <v>46</v>
      </c>
      <c r="C58" s="78">
        <v>933287</v>
      </c>
      <c r="E58" s="121">
        <v>0.006</v>
      </c>
      <c r="F58" s="121">
        <v>0.002</v>
      </c>
      <c r="G58" s="121">
        <v>0.03024</v>
      </c>
      <c r="H58" s="121">
        <v>2.488</v>
      </c>
      <c r="I58" s="77">
        <v>0.01</v>
      </c>
      <c r="J58" s="88">
        <v>0.025</v>
      </c>
      <c r="K58" s="77">
        <v>0.005</v>
      </c>
      <c r="L58" s="121">
        <v>0.1161</v>
      </c>
      <c r="M58" s="121">
        <v>0.3821</v>
      </c>
      <c r="N58" s="121">
        <v>0.1853</v>
      </c>
      <c r="O58" s="121">
        <v>2.176</v>
      </c>
      <c r="P58" s="88">
        <v>0.5654</v>
      </c>
      <c r="Q58" s="88">
        <v>2.5</v>
      </c>
      <c r="R58" s="88">
        <v>6.57</v>
      </c>
      <c r="S58" s="88">
        <v>18.1</v>
      </c>
      <c r="T58" s="88">
        <v>18.747</v>
      </c>
      <c r="U58" s="121">
        <v>0.05</v>
      </c>
      <c r="V58" s="77"/>
      <c r="W58" s="77">
        <v>0.002</v>
      </c>
      <c r="X58" s="77">
        <v>0.002</v>
      </c>
      <c r="Y58" s="77">
        <v>1.359</v>
      </c>
      <c r="Z58" s="77">
        <v>0.2064</v>
      </c>
      <c r="AA58" s="77">
        <v>0.1714</v>
      </c>
      <c r="AB58" s="12"/>
      <c r="AE58" s="49">
        <f t="shared" si="0"/>
        <v>0.2142857142857143</v>
      </c>
      <c r="AF58" s="49">
        <f t="shared" si="1"/>
        <v>0.07272727272727272</v>
      </c>
      <c r="AG58" s="49">
        <f t="shared" si="2"/>
        <v>3.36</v>
      </c>
      <c r="AH58" s="49">
        <f t="shared" si="3"/>
        <v>355.42857142857144</v>
      </c>
      <c r="AI58" s="49">
        <f t="shared" si="4"/>
        <v>0.7142857142857143</v>
      </c>
      <c r="AJ58" s="49">
        <f t="shared" si="5"/>
        <v>1.7857142857142858</v>
      </c>
      <c r="AK58" s="49">
        <f t="shared" si="6"/>
        <v>0.4838709677419355</v>
      </c>
      <c r="AL58" s="49">
        <f t="shared" si="7"/>
        <v>2.9769230769230766</v>
      </c>
      <c r="AM58" s="49">
        <f t="shared" si="8"/>
        <v>19.105</v>
      </c>
      <c r="AN58" s="49">
        <f t="shared" si="9"/>
        <v>15.441666666666666</v>
      </c>
      <c r="AO58" s="49">
        <f t="shared" si="10"/>
        <v>94.60869565217392</v>
      </c>
      <c r="AP58" s="49">
        <f t="shared" si="11"/>
        <v>35.3375</v>
      </c>
      <c r="AQ58" s="49">
        <f t="shared" si="12"/>
        <v>71.42857142857143</v>
      </c>
      <c r="AR58" s="100">
        <f t="shared" si="43"/>
        <v>0.2691534803926914</v>
      </c>
      <c r="AS58" s="49">
        <f t="shared" si="13"/>
        <v>4.838709677419355</v>
      </c>
      <c r="AT58" s="49"/>
      <c r="AU58" s="49">
        <f t="shared" si="15"/>
        <v>0.06349206349206349</v>
      </c>
      <c r="AV58" s="49">
        <f t="shared" si="16"/>
        <v>0.061538461538461535</v>
      </c>
      <c r="AW58" s="100">
        <f t="shared" si="17"/>
        <v>14.742857142857142</v>
      </c>
      <c r="AX58" s="100">
        <f t="shared" si="44"/>
        <v>12.242857142857142</v>
      </c>
      <c r="AY58" s="100"/>
      <c r="AZ58" s="100">
        <f t="shared" si="45"/>
        <v>2.5</v>
      </c>
      <c r="BA58" s="79"/>
      <c r="BB58" s="79"/>
      <c r="BC58" s="107">
        <f t="shared" si="46"/>
        <v>132.84657111004938</v>
      </c>
      <c r="BD58" s="107">
        <f t="shared" si="47"/>
        <v>108.55178571428571</v>
      </c>
      <c r="BE58" s="106">
        <f t="shared" si="48"/>
        <v>10.064188387762272</v>
      </c>
      <c r="BF58" s="104">
        <f>(('[2]setup'!$B$13*'[2]setup'!$B$14*'[2]setup'!$B$15)/10^(-R58))*10^6</f>
        <v>44.0548577804686</v>
      </c>
      <c r="BG58" s="110">
        <f t="shared" si="49"/>
        <v>13.046664124130361</v>
      </c>
      <c r="BH58" s="104">
        <f t="shared" si="50"/>
        <v>24.294785395763668</v>
      </c>
      <c r="BI58" s="104">
        <f t="shared" si="51"/>
        <v>133.11572459044208</v>
      </c>
      <c r="BJ58" s="104">
        <f t="shared" si="52"/>
        <v>165.65330761888467</v>
      </c>
      <c r="BK58" s="105">
        <f t="shared" si="53"/>
        <v>10.890547386332114</v>
      </c>
      <c r="BL58" s="106"/>
      <c r="BM58" s="107">
        <f>(3*('[2]setup'!$D$19*(10^-R58)^3)+2*('[2]setup'!$D$20*'[2]setup'!$D$19*((10^-R58)^2))+('[2]setup'!$D$21*'[2]setup'!$D$19*10^-R58)+('[2]setup'!$D$19*'[2]setup'!$D$22*(AP58/(10^6*2))*(10^-R58)^3))*10^6</f>
        <v>0.0002887195309222071</v>
      </c>
      <c r="BN58" s="108">
        <f t="shared" si="54"/>
        <v>-19.49063018478131</v>
      </c>
      <c r="BO58" s="104">
        <f>(BN58/((('[2]setup'!$C$26)/10^-R58)+2*(('[2]setup'!$C$26*'[2]setup'!$C$27)/(10^-R58^2))+3*(('[2]setup'!$C$26*'[2]setup'!$C$27*'[2]setup'!$C$28)/(10^-R58^3))))/(10^-R58^3/(10^-R58^3+'[2]setup'!$C$26*10^-R58^2+'[2]setup'!$C$26*'[2]setup'!$C$27*10^-R58+'[2]setup'!$C$26*'[2]setup'!$C$27*'[2]setup'!$C$28))</f>
        <v>-7.622295069720605</v>
      </c>
      <c r="BQ58" s="111">
        <f t="shared" si="30"/>
        <v>132.84657111004938</v>
      </c>
      <c r="BR58" s="111">
        <f t="shared" si="31"/>
        <v>108.55178571428571</v>
      </c>
      <c r="BS58" s="111">
        <f t="shared" si="32"/>
        <v>1.223808251848651</v>
      </c>
      <c r="BT58" s="111">
        <f t="shared" si="33"/>
        <v>23.580499681477946</v>
      </c>
      <c r="BU58" s="111">
        <f t="shared" si="34"/>
        <v>1.324521739130435</v>
      </c>
    </row>
    <row r="59" spans="1:73" s="81" customFormat="1" ht="12.75">
      <c r="A59" s="82">
        <v>39601</v>
      </c>
      <c r="B59" s="2" t="s">
        <v>46</v>
      </c>
      <c r="C59" s="78">
        <v>935729</v>
      </c>
      <c r="E59" s="121">
        <v>0.006</v>
      </c>
      <c r="F59" s="121">
        <v>0.002</v>
      </c>
      <c r="G59" s="121">
        <v>0.02</v>
      </c>
      <c r="H59" s="121">
        <v>3.076</v>
      </c>
      <c r="I59" s="77">
        <v>0.051</v>
      </c>
      <c r="J59" s="88">
        <v>0.0394</v>
      </c>
      <c r="K59" s="77">
        <v>0.005</v>
      </c>
      <c r="L59" s="121">
        <v>0.4789</v>
      </c>
      <c r="M59" s="121">
        <v>0.697</v>
      </c>
      <c r="N59" s="121">
        <v>0.3814</v>
      </c>
      <c r="O59" s="121">
        <v>2.936</v>
      </c>
      <c r="P59" s="77">
        <v>0.7688</v>
      </c>
      <c r="Q59" s="88">
        <v>3.235</v>
      </c>
      <c r="R59" s="77">
        <v>6.71</v>
      </c>
      <c r="S59" s="77">
        <v>18.2</v>
      </c>
      <c r="T59" s="77">
        <v>23.789</v>
      </c>
      <c r="U59" s="121">
        <v>0.05</v>
      </c>
      <c r="V59" s="121"/>
      <c r="W59" s="121">
        <v>0.002</v>
      </c>
      <c r="X59" s="121">
        <v>0.002</v>
      </c>
      <c r="Y59" s="77">
        <v>1.477</v>
      </c>
      <c r="Z59" s="77">
        <v>0.2951</v>
      </c>
      <c r="AA59" s="77">
        <v>0.2047</v>
      </c>
      <c r="AE59" s="49">
        <f t="shared" si="0"/>
        <v>0.2142857142857143</v>
      </c>
      <c r="AF59" s="49">
        <f t="shared" si="1"/>
        <v>0.07272727272727272</v>
      </c>
      <c r="AG59" s="49">
        <f t="shared" si="2"/>
        <v>2.2222222222222223</v>
      </c>
      <c r="AH59" s="49">
        <f t="shared" si="3"/>
        <v>439.42857142857144</v>
      </c>
      <c r="AI59" s="49">
        <f t="shared" si="4"/>
        <v>3.6428571428571423</v>
      </c>
      <c r="AJ59" s="49">
        <f t="shared" si="5"/>
        <v>2.814285714285714</v>
      </c>
      <c r="AK59" s="49">
        <f t="shared" si="6"/>
        <v>0.4838709677419355</v>
      </c>
      <c r="AL59" s="49">
        <f t="shared" si="7"/>
        <v>12.279487179487178</v>
      </c>
      <c r="AM59" s="49">
        <f t="shared" si="8"/>
        <v>34.85</v>
      </c>
      <c r="AN59" s="49">
        <f t="shared" si="9"/>
        <v>31.78333333333334</v>
      </c>
      <c r="AO59" s="49">
        <f t="shared" si="10"/>
        <v>127.65217391304348</v>
      </c>
      <c r="AP59" s="49">
        <f t="shared" si="11"/>
        <v>48.050000000000004</v>
      </c>
      <c r="AQ59" s="49">
        <f t="shared" si="12"/>
        <v>92.42857142857143</v>
      </c>
      <c r="AR59" s="100">
        <f t="shared" si="43"/>
        <v>0.1949844599758045</v>
      </c>
      <c r="AS59" s="49">
        <f t="shared" si="13"/>
        <v>4.838709677419355</v>
      </c>
      <c r="AT59" s="49"/>
      <c r="AU59" s="49">
        <f t="shared" si="15"/>
        <v>0.06349206349206349</v>
      </c>
      <c r="AV59" s="49">
        <f t="shared" si="16"/>
        <v>0.061538461538461535</v>
      </c>
      <c r="AW59" s="100">
        <f t="shared" si="17"/>
        <v>21.078571428571426</v>
      </c>
      <c r="AX59" s="100">
        <f t="shared" si="44"/>
        <v>14.62142857142857</v>
      </c>
      <c r="AY59" s="100"/>
      <c r="AZ59" s="100">
        <f t="shared" si="45"/>
        <v>6.457142857142856</v>
      </c>
      <c r="BA59" s="79"/>
      <c r="BB59" s="79"/>
      <c r="BC59" s="107">
        <f t="shared" si="46"/>
        <v>210.20785156872114</v>
      </c>
      <c r="BD59" s="107">
        <f t="shared" si="47"/>
        <v>143.29285714285714</v>
      </c>
      <c r="BE59" s="106">
        <f t="shared" si="48"/>
        <v>18.929239115178135</v>
      </c>
      <c r="BF59" s="104">
        <f>(('[2]setup'!$B$13*'[2]setup'!$B$14*'[2]setup'!$B$15)/10^(-R59))*10^6</f>
        <v>60.81263245947677</v>
      </c>
      <c r="BG59" s="110">
        <f t="shared" si="49"/>
        <v>14.282619698320218</v>
      </c>
      <c r="BH59" s="104">
        <f t="shared" si="50"/>
        <v>66.914994425864</v>
      </c>
      <c r="BI59" s="104">
        <f t="shared" si="51"/>
        <v>210.40283602869695</v>
      </c>
      <c r="BJ59" s="104">
        <f t="shared" si="52"/>
        <v>218.38810930065412</v>
      </c>
      <c r="BK59" s="105">
        <f t="shared" si="53"/>
        <v>1.8622765613261123</v>
      </c>
      <c r="BL59" s="106"/>
      <c r="BM59" s="107">
        <f>(3*('[2]setup'!$D$19*(10^-R59)^3)+2*('[2]setup'!$D$20*'[2]setup'!$D$19*((10^-R59)^2))+('[2]setup'!$D$21*'[2]setup'!$D$19*10^-R59)+('[2]setup'!$D$19*'[2]setup'!$D$22*(AP59/(10^6*2))*(10^-R59)^3))*10^6</f>
        <v>0.00019780910148792518</v>
      </c>
      <c r="BN59" s="108">
        <f t="shared" si="54"/>
        <v>6.297544235464528</v>
      </c>
      <c r="BO59" s="104">
        <f>(BN59/((('[2]setup'!$C$26)/10^-R59)+2*(('[2]setup'!$C$26*'[2]setup'!$C$27)/(10^-R59^2))+3*(('[2]setup'!$C$26*'[2]setup'!$C$27*'[2]setup'!$C$28)/(10^-R59^3))))/(10^-R59^3/(10^-R59^3+'[2]setup'!$C$26*10^-R59^2+'[2]setup'!$C$26*'[2]setup'!$C$27*10^-R59+'[2]setup'!$C$26*'[2]setup'!$C$27*'[2]setup'!$C$28))</f>
        <v>2.388738282550546</v>
      </c>
      <c r="BQ59" s="111">
        <f t="shared" si="30"/>
        <v>210.20785156872114</v>
      </c>
      <c r="BR59" s="111">
        <f t="shared" si="31"/>
        <v>143.29285714285714</v>
      </c>
      <c r="BS59" s="111">
        <f t="shared" si="32"/>
        <v>1.466980669937738</v>
      </c>
      <c r="BT59" s="111">
        <f t="shared" si="33"/>
        <v>63.272137283006856</v>
      </c>
      <c r="BU59" s="111">
        <f t="shared" si="34"/>
        <v>1.3810899805120624</v>
      </c>
    </row>
    <row r="60" spans="1:73" s="81" customFormat="1" ht="12.75">
      <c r="A60" s="82">
        <v>39637</v>
      </c>
      <c r="B60" s="2" t="s">
        <v>46</v>
      </c>
      <c r="C60" s="78">
        <v>940498</v>
      </c>
      <c r="E60" s="121">
        <v>0.006342</v>
      </c>
      <c r="F60" s="121">
        <v>0.002</v>
      </c>
      <c r="G60" s="121">
        <v>0.07276</v>
      </c>
      <c r="H60" s="121">
        <v>2.93</v>
      </c>
      <c r="I60" s="77">
        <v>0.01</v>
      </c>
      <c r="J60" s="77">
        <v>0.02808</v>
      </c>
      <c r="K60" s="77">
        <v>0.005</v>
      </c>
      <c r="L60" s="121">
        <v>0.1</v>
      </c>
      <c r="M60" s="121">
        <v>0.7797</v>
      </c>
      <c r="N60" s="121">
        <v>0.3717</v>
      </c>
      <c r="O60" s="121">
        <v>2.755</v>
      </c>
      <c r="P60" s="77">
        <v>0.6424</v>
      </c>
      <c r="Q60" s="77">
        <v>2.606</v>
      </c>
      <c r="R60" s="77">
        <v>6.67</v>
      </c>
      <c r="S60" s="77">
        <v>17.2</v>
      </c>
      <c r="T60" s="77">
        <v>22.473</v>
      </c>
      <c r="U60" s="121">
        <v>0.07134</v>
      </c>
      <c r="V60" s="121"/>
      <c r="W60" s="121">
        <v>0.007351</v>
      </c>
      <c r="X60" s="121">
        <v>0.002</v>
      </c>
      <c r="Y60" s="77">
        <v>2.363</v>
      </c>
      <c r="Z60" s="77">
        <v>0.1152</v>
      </c>
      <c r="AA60" s="77">
        <v>0.07712</v>
      </c>
      <c r="AB60" s="12"/>
      <c r="AE60" s="49">
        <f t="shared" si="0"/>
        <v>0.2265</v>
      </c>
      <c r="AF60" s="49">
        <f t="shared" si="1"/>
        <v>0.07272727272727272</v>
      </c>
      <c r="AG60" s="49">
        <f t="shared" si="2"/>
        <v>8.084444444444445</v>
      </c>
      <c r="AH60" s="49">
        <f t="shared" si="3"/>
        <v>418.5714285714286</v>
      </c>
      <c r="AI60" s="49">
        <f t="shared" si="4"/>
        <v>0.7142857142857143</v>
      </c>
      <c r="AJ60" s="49">
        <f t="shared" si="5"/>
        <v>2.005714285714286</v>
      </c>
      <c r="AK60" s="49">
        <f t="shared" si="6"/>
        <v>0.4838709677419355</v>
      </c>
      <c r="AL60" s="49">
        <f t="shared" si="7"/>
        <v>2.5641025641025643</v>
      </c>
      <c r="AM60" s="49">
        <f t="shared" si="8"/>
        <v>38.985</v>
      </c>
      <c r="AN60" s="49">
        <f t="shared" si="9"/>
        <v>30.974999999999998</v>
      </c>
      <c r="AO60" s="49">
        <f t="shared" si="10"/>
        <v>119.78260869565217</v>
      </c>
      <c r="AP60" s="49">
        <f t="shared" si="11"/>
        <v>40.15</v>
      </c>
      <c r="AQ60" s="49">
        <f t="shared" si="12"/>
        <v>74.45714285714284</v>
      </c>
      <c r="AR60" s="100">
        <f t="shared" si="43"/>
        <v>0.21379620895022322</v>
      </c>
      <c r="AS60" s="49">
        <f t="shared" si="13"/>
        <v>6.903870967741935</v>
      </c>
      <c r="AT60" s="49"/>
      <c r="AU60" s="49">
        <f t="shared" si="15"/>
        <v>0.23336507936507936</v>
      </c>
      <c r="AV60" s="49">
        <f t="shared" si="16"/>
        <v>0.061538461538461535</v>
      </c>
      <c r="AW60" s="100">
        <f t="shared" si="17"/>
        <v>8.22857142857143</v>
      </c>
      <c r="AX60" s="100">
        <f t="shared" si="44"/>
        <v>5.508571428571429</v>
      </c>
      <c r="AY60" s="100"/>
      <c r="AZ60" s="100">
        <f t="shared" si="45"/>
        <v>2.72</v>
      </c>
      <c r="BA60" s="79"/>
      <c r="BB60" s="79"/>
      <c r="BC60" s="107">
        <f t="shared" si="46"/>
        <v>193.02099697404046</v>
      </c>
      <c r="BD60" s="107">
        <f t="shared" si="47"/>
        <v>116.61285714285712</v>
      </c>
      <c r="BE60" s="106">
        <f t="shared" si="48"/>
        <v>24.67693335701483</v>
      </c>
      <c r="BF60" s="104">
        <f>(('[2]setup'!$B$13*'[2]setup'!$B$14*'[2]setup'!$B$15)/10^(-R60))*10^6</f>
        <v>55.46177997280986</v>
      </c>
      <c r="BG60" s="110">
        <f t="shared" si="49"/>
        <v>22.805899630897347</v>
      </c>
      <c r="BH60" s="104">
        <f t="shared" si="50"/>
        <v>76.40813983118333</v>
      </c>
      <c r="BI60" s="104">
        <f t="shared" si="51"/>
        <v>193.23479318299067</v>
      </c>
      <c r="BJ60" s="104">
        <f t="shared" si="52"/>
        <v>194.88053674656433</v>
      </c>
      <c r="BK60" s="105">
        <f t="shared" si="53"/>
        <v>0.4240346713108115</v>
      </c>
      <c r="BL60" s="106"/>
      <c r="BM60" s="107">
        <f>(3*('[2]setup'!$D$19*(10^-R60)^3)+2*('[2]setup'!$D$20*'[2]setup'!$D$19*((10^-R60)^2))+('[2]setup'!$D$21*'[2]setup'!$D$19*10^-R60)+('[2]setup'!$D$19*'[2]setup'!$D$22*(AP60/(10^6*2))*(10^-R60)^3))*10^6</f>
        <v>0.00021998139318219853</v>
      </c>
      <c r="BN60" s="108">
        <f t="shared" si="54"/>
        <v>21.16037604871687</v>
      </c>
      <c r="BO60" s="104">
        <f>(BN60/((('[2]setup'!$C$26)/10^-R60)+2*(('[2]setup'!$C$26*'[2]setup'!$C$27)/(10^-R60^2))+3*(('[2]setup'!$C$26*'[2]setup'!$C$27*'[2]setup'!$C$28)/(10^-R60^3))))/(10^-R60^3/(10^-R60^3+'[2]setup'!$C$26*10^-R60^2+'[2]setup'!$C$26*'[2]setup'!$C$27*10^-R60+'[2]setup'!$C$26*'[2]setup'!$C$27*'[2]setup'!$C$28))</f>
        <v>8.094018386547166</v>
      </c>
      <c r="BQ60" s="111">
        <f t="shared" si="30"/>
        <v>193.02099697404043</v>
      </c>
      <c r="BR60" s="111">
        <f t="shared" si="31"/>
        <v>116.61285714285712</v>
      </c>
      <c r="BS60" s="111">
        <f t="shared" si="32"/>
        <v>1.6552291205555418</v>
      </c>
      <c r="BT60" s="111">
        <f t="shared" si="33"/>
        <v>75.69385411689761</v>
      </c>
      <c r="BU60" s="111">
        <f t="shared" si="34"/>
        <v>1.608745703894024</v>
      </c>
    </row>
    <row r="61" spans="1:73" s="81" customFormat="1" ht="12.75">
      <c r="A61" s="82">
        <v>39693</v>
      </c>
      <c r="B61" s="2" t="s">
        <v>46</v>
      </c>
      <c r="C61" s="78">
        <v>946518</v>
      </c>
      <c r="E61" s="77">
        <v>0.03106</v>
      </c>
      <c r="F61" s="77">
        <v>0.002</v>
      </c>
      <c r="G61" s="77">
        <v>0.02</v>
      </c>
      <c r="H61" s="77">
        <v>2.695</v>
      </c>
      <c r="I61" s="77">
        <v>0.017</v>
      </c>
      <c r="J61" s="77">
        <v>0.025</v>
      </c>
      <c r="K61" s="77">
        <v>0.005</v>
      </c>
      <c r="L61" s="77">
        <v>0.2935</v>
      </c>
      <c r="M61" s="77">
        <v>1.133</v>
      </c>
      <c r="N61" s="77">
        <v>0.4458</v>
      </c>
      <c r="O61" s="77">
        <v>3.799</v>
      </c>
      <c r="P61" s="88">
        <v>0.6725</v>
      </c>
      <c r="Q61" s="77">
        <v>2.597</v>
      </c>
      <c r="R61" s="77">
        <v>6.72</v>
      </c>
      <c r="S61" s="77">
        <v>19.5</v>
      </c>
      <c r="T61" s="77">
        <v>22.376</v>
      </c>
      <c r="U61" s="77">
        <v>0.05</v>
      </c>
      <c r="V61" s="11"/>
      <c r="W61" s="77">
        <v>0.002</v>
      </c>
      <c r="X61" s="77">
        <v>0.002</v>
      </c>
      <c r="Y61" s="77">
        <v>0.9585</v>
      </c>
      <c r="Z61" s="88">
        <v>0.1154</v>
      </c>
      <c r="AA61" s="77">
        <v>0.07339999999999999</v>
      </c>
      <c r="AE61" s="49">
        <f t="shared" si="0"/>
        <v>1.1092857142857144</v>
      </c>
      <c r="AF61" s="49">
        <f t="shared" si="1"/>
        <v>0.07272727272727272</v>
      </c>
      <c r="AG61" s="49">
        <f t="shared" si="2"/>
        <v>2.2222222222222223</v>
      </c>
      <c r="AH61" s="49">
        <f t="shared" si="3"/>
        <v>384.99999999999994</v>
      </c>
      <c r="AI61" s="49">
        <f t="shared" si="4"/>
        <v>1.2142857142857144</v>
      </c>
      <c r="AJ61" s="49">
        <f t="shared" si="5"/>
        <v>1.7857142857142858</v>
      </c>
      <c r="AK61" s="49">
        <f t="shared" si="6"/>
        <v>0.4838709677419355</v>
      </c>
      <c r="AL61" s="49">
        <f t="shared" si="7"/>
        <v>7.5256410256410255</v>
      </c>
      <c r="AM61" s="49">
        <f t="shared" si="8"/>
        <v>56.65</v>
      </c>
      <c r="AN61" s="49">
        <f t="shared" si="9"/>
        <v>37.15</v>
      </c>
      <c r="AO61" s="49">
        <f t="shared" si="10"/>
        <v>165.17391304347825</v>
      </c>
      <c r="AP61" s="49">
        <f t="shared" si="11"/>
        <v>42.03125</v>
      </c>
      <c r="AQ61" s="49">
        <f t="shared" si="12"/>
        <v>74.2</v>
      </c>
      <c r="AR61" s="100">
        <f t="shared" si="43"/>
        <v>0.1905460717963248</v>
      </c>
      <c r="AS61" s="49">
        <f t="shared" si="13"/>
        <v>4.838709677419355</v>
      </c>
      <c r="AT61" s="49"/>
      <c r="AU61" s="49">
        <f t="shared" si="15"/>
        <v>0.06349206349206349</v>
      </c>
      <c r="AV61" s="49">
        <f t="shared" si="16"/>
        <v>0.061538461538461535</v>
      </c>
      <c r="AW61" s="100">
        <f t="shared" si="17"/>
        <v>8.242857142857144</v>
      </c>
      <c r="AX61" s="100">
        <f t="shared" si="44"/>
        <v>5.242857142857144</v>
      </c>
      <c r="AY61" s="100"/>
      <c r="AZ61" s="100">
        <f t="shared" si="45"/>
        <v>3</v>
      </c>
      <c r="BA61" s="79"/>
      <c r="BB61" s="79"/>
      <c r="BC61" s="107">
        <f t="shared" si="46"/>
        <v>267.71383978340504</v>
      </c>
      <c r="BD61" s="107">
        <f t="shared" si="47"/>
        <v>118.0169642857143</v>
      </c>
      <c r="BE61" s="106">
        <f t="shared" si="48"/>
        <v>38.80863906084785</v>
      </c>
      <c r="BF61" s="104">
        <f>(('[2]setup'!$B$13*'[2]setup'!$B$14*'[2]setup'!$B$15)/10^(-R61))*10^6</f>
        <v>62.229140637927685</v>
      </c>
      <c r="BG61" s="110">
        <f t="shared" si="49"/>
        <v>9.27307778736133</v>
      </c>
      <c r="BH61" s="104">
        <f t="shared" si="50"/>
        <v>149.69687549769074</v>
      </c>
      <c r="BI61" s="104">
        <f t="shared" si="51"/>
        <v>267.9043858552014</v>
      </c>
      <c r="BJ61" s="104">
        <f t="shared" si="52"/>
        <v>189.5191827110033</v>
      </c>
      <c r="BK61" s="105">
        <f t="shared" si="53"/>
        <v>17.136240572364184</v>
      </c>
      <c r="BL61" s="106"/>
      <c r="BM61" s="107">
        <f>(3*('[2]setup'!$D$19*(10^-R61)^3)+2*('[2]setup'!$D$20*'[2]setup'!$D$19*((10^-R61)^2))+('[2]setup'!$D$21*'[2]setup'!$D$19*10^-R61)+('[2]setup'!$D$19*'[2]setup'!$D$22*(AP61/(10^6*2))*(10^-R61)^3))*10^6</f>
        <v>0.00019266060373735743</v>
      </c>
      <c r="BN61" s="108">
        <f t="shared" si="54"/>
        <v>87.65847359216312</v>
      </c>
      <c r="BO61" s="104">
        <f>(BN61/((('[2]setup'!$C$26)/10^-R61)+2*(('[2]setup'!$C$26*'[2]setup'!$C$27)/(10^-R61^2))+3*(('[2]setup'!$C$26*'[2]setup'!$C$27*'[2]setup'!$C$28)/(10^-R61^3))))/(10^-R61^3/(10^-R61^3+'[2]setup'!$C$26*10^-R61^2+'[2]setup'!$C$26*'[2]setup'!$C$27*10^-R61+'[2]setup'!$C$26*'[2]setup'!$C$27*'[2]setup'!$C$28))</f>
        <v>33.18183171675966</v>
      </c>
      <c r="BQ61" s="111">
        <f t="shared" si="30"/>
        <v>267.713839783405</v>
      </c>
      <c r="BR61" s="111">
        <f t="shared" si="31"/>
        <v>118.0169642857143</v>
      </c>
      <c r="BS61" s="111">
        <f t="shared" si="32"/>
        <v>2.2684352322034025</v>
      </c>
      <c r="BT61" s="111">
        <f t="shared" si="33"/>
        <v>148.48258978340502</v>
      </c>
      <c r="BU61" s="111">
        <f t="shared" si="34"/>
        <v>2.2260635181061756</v>
      </c>
    </row>
    <row r="62" spans="1:73" s="81" customFormat="1" ht="12.75">
      <c r="A62" s="82">
        <v>39707</v>
      </c>
      <c r="B62" s="2" t="s">
        <v>46</v>
      </c>
      <c r="C62" s="78">
        <v>947730</v>
      </c>
      <c r="E62" s="77">
        <v>0.03192</v>
      </c>
      <c r="F62" s="77">
        <v>0.002</v>
      </c>
      <c r="G62" s="77">
        <v>0.03516</v>
      </c>
      <c r="H62" s="77">
        <v>2.197</v>
      </c>
      <c r="I62" s="88">
        <v>0.022</v>
      </c>
      <c r="J62" s="88">
        <v>0.03698</v>
      </c>
      <c r="K62" s="77">
        <v>0.005</v>
      </c>
      <c r="L62" s="77">
        <v>0.2059</v>
      </c>
      <c r="M62" s="77">
        <v>1.016</v>
      </c>
      <c r="N62" s="77">
        <v>0.4064</v>
      </c>
      <c r="O62" s="77">
        <v>4.137</v>
      </c>
      <c r="P62" s="88">
        <v>0.6482</v>
      </c>
      <c r="Q62" s="88">
        <v>2.836</v>
      </c>
      <c r="R62" s="88">
        <v>6.52</v>
      </c>
      <c r="S62" s="88">
        <v>19.3</v>
      </c>
      <c r="T62" s="88">
        <v>22.163</v>
      </c>
      <c r="U62" s="77">
        <v>0.05</v>
      </c>
      <c r="V62" s="11"/>
      <c r="W62" s="77">
        <v>0.002</v>
      </c>
      <c r="X62" s="77">
        <v>0.003286</v>
      </c>
      <c r="Y62" s="77">
        <v>1.367</v>
      </c>
      <c r="Z62" s="77">
        <v>0.1146</v>
      </c>
      <c r="AA62" s="77">
        <v>0.055619999999999996</v>
      </c>
      <c r="AB62" s="12"/>
      <c r="AE62" s="49">
        <f t="shared" si="0"/>
        <v>1.14</v>
      </c>
      <c r="AF62" s="49">
        <f t="shared" si="1"/>
        <v>0.07272727272727272</v>
      </c>
      <c r="AG62" s="49">
        <f t="shared" si="2"/>
        <v>3.9066666666666667</v>
      </c>
      <c r="AH62" s="49">
        <f t="shared" si="3"/>
        <v>313.8571428571429</v>
      </c>
      <c r="AI62" s="49">
        <f t="shared" si="4"/>
        <v>1.5714285714285712</v>
      </c>
      <c r="AJ62" s="49">
        <f t="shared" si="5"/>
        <v>2.6414285714285715</v>
      </c>
      <c r="AK62" s="49">
        <f t="shared" si="6"/>
        <v>0.4838709677419355</v>
      </c>
      <c r="AL62" s="49">
        <f t="shared" si="7"/>
        <v>5.279487179487179</v>
      </c>
      <c r="AM62" s="49">
        <f t="shared" si="8"/>
        <v>50.8</v>
      </c>
      <c r="AN62" s="49">
        <f t="shared" si="9"/>
        <v>33.86666666666666</v>
      </c>
      <c r="AO62" s="49">
        <f t="shared" si="10"/>
        <v>179.86956521739128</v>
      </c>
      <c r="AP62" s="49">
        <f t="shared" si="11"/>
        <v>40.5125</v>
      </c>
      <c r="AQ62" s="49">
        <f t="shared" si="12"/>
        <v>81.02857142857142</v>
      </c>
      <c r="AR62" s="100">
        <f t="shared" si="43"/>
        <v>0.30199517204020193</v>
      </c>
      <c r="AS62" s="49">
        <f t="shared" si="13"/>
        <v>4.838709677419355</v>
      </c>
      <c r="AT62" s="49"/>
      <c r="AU62" s="49">
        <f t="shared" si="15"/>
        <v>0.06349206349206349</v>
      </c>
      <c r="AV62" s="49">
        <f t="shared" si="16"/>
        <v>0.1011076923076923</v>
      </c>
      <c r="AW62" s="100">
        <f t="shared" si="17"/>
        <v>8.185714285714285</v>
      </c>
      <c r="AX62" s="100">
        <f t="shared" si="44"/>
        <v>3.9728571428571424</v>
      </c>
      <c r="AY62" s="100"/>
      <c r="AZ62" s="100">
        <f t="shared" si="45"/>
        <v>4.212857142857143</v>
      </c>
      <c r="BA62" s="79"/>
      <c r="BB62" s="79"/>
      <c r="BC62" s="107">
        <f t="shared" si="46"/>
        <v>271.38714763497364</v>
      </c>
      <c r="BD62" s="107">
        <f t="shared" si="47"/>
        <v>124.1825</v>
      </c>
      <c r="BE62" s="106">
        <f t="shared" si="48"/>
        <v>37.21333234616932</v>
      </c>
      <c r="BF62" s="104">
        <f>(('[2]setup'!$B$13*'[2]setup'!$B$14*'[2]setup'!$B$15)/10^(-R62))*10^6</f>
        <v>39.26393332619127</v>
      </c>
      <c r="BG62" s="110">
        <f t="shared" si="49"/>
        <v>13.085370889130362</v>
      </c>
      <c r="BH62" s="104">
        <f t="shared" si="50"/>
        <v>147.2046476349737</v>
      </c>
      <c r="BI62" s="104">
        <f t="shared" si="51"/>
        <v>271.6891428070139</v>
      </c>
      <c r="BJ62" s="104">
        <f t="shared" si="52"/>
        <v>176.53180421532164</v>
      </c>
      <c r="BK62" s="105">
        <f t="shared" si="53"/>
        <v>21.2300070364517</v>
      </c>
      <c r="BL62" s="106"/>
      <c r="BM62" s="107">
        <f>(3*('[2]setup'!$D$19*(10^-R62)^3)+2*('[2]setup'!$D$20*'[2]setup'!$D$19*((10^-R62)^2))+('[2]setup'!$D$21*'[2]setup'!$D$19*10^-R62)+('[2]setup'!$D$19*'[2]setup'!$D$22*(AP62/(10^6*2))*(10^-R62)^3))*10^6</f>
        <v>0.00033206093307883925</v>
      </c>
      <c r="BN62" s="108">
        <f t="shared" si="54"/>
        <v>108.24304154175573</v>
      </c>
      <c r="BO62" s="104">
        <f>(BN62/((('[2]setup'!$C$26)/10^-R62)+2*(('[2]setup'!$C$26*'[2]setup'!$C$27)/(10^-R62^2))+3*(('[2]setup'!$C$26*'[2]setup'!$C$27*'[2]setup'!$C$28)/(10^-R62^3))))/(10^-R62^3/(10^-R62^3+'[2]setup'!$C$26*10^-R62^2+'[2]setup'!$C$26*'[2]setup'!$C$27*10^-R62+'[2]setup'!$C$26*'[2]setup'!$C$27*'[2]setup'!$C$28))</f>
        <v>42.82560226370755</v>
      </c>
      <c r="BQ62" s="111">
        <f t="shared" si="30"/>
        <v>271.3871476349737</v>
      </c>
      <c r="BR62" s="111">
        <f t="shared" si="31"/>
        <v>124.1825</v>
      </c>
      <c r="BS62" s="111">
        <f t="shared" si="32"/>
        <v>2.185389629255118</v>
      </c>
      <c r="BT62" s="111">
        <f t="shared" si="33"/>
        <v>145.63321906354508</v>
      </c>
      <c r="BU62" s="111">
        <f t="shared" si="34"/>
        <v>2.2198289078309927</v>
      </c>
    </row>
    <row r="63" spans="1:73" s="81" customFormat="1" ht="12.75">
      <c r="A63" s="82">
        <v>39721</v>
      </c>
      <c r="B63" s="2" t="s">
        <v>46</v>
      </c>
      <c r="C63" s="78">
        <v>948941</v>
      </c>
      <c r="E63" s="77">
        <v>0.03551</v>
      </c>
      <c r="F63" s="77">
        <v>0.002</v>
      </c>
      <c r="G63" s="77">
        <v>0.02</v>
      </c>
      <c r="H63" s="77">
        <v>2.141</v>
      </c>
      <c r="I63" s="77">
        <v>0.014</v>
      </c>
      <c r="J63" s="98">
        <v>0.0801</v>
      </c>
      <c r="K63" s="77">
        <v>0.005</v>
      </c>
      <c r="L63" s="77">
        <v>0.1241</v>
      </c>
      <c r="M63" s="77">
        <v>0.8617</v>
      </c>
      <c r="N63" s="77">
        <v>0.3669</v>
      </c>
      <c r="O63" s="77">
        <v>3.398</v>
      </c>
      <c r="P63" s="98">
        <v>0.6703</v>
      </c>
      <c r="Q63" s="98">
        <v>2.91</v>
      </c>
      <c r="R63" s="77">
        <v>6.58</v>
      </c>
      <c r="S63" s="77">
        <v>12.7</v>
      </c>
      <c r="T63" s="77">
        <v>21.462</v>
      </c>
      <c r="U63" s="77">
        <v>0.05</v>
      </c>
      <c r="V63" s="88"/>
      <c r="W63" s="77">
        <v>0.002</v>
      </c>
      <c r="X63" s="77">
        <v>0.002</v>
      </c>
      <c r="Y63" s="77">
        <v>1.108</v>
      </c>
      <c r="Z63" s="77">
        <v>0.01</v>
      </c>
      <c r="AA63" s="77">
        <v>-0.08410000000000001</v>
      </c>
      <c r="AB63" s="12"/>
      <c r="AE63" s="49">
        <f t="shared" si="0"/>
        <v>1.2682142857142857</v>
      </c>
      <c r="AF63" s="49">
        <f t="shared" si="1"/>
        <v>0.07272727272727272</v>
      </c>
      <c r="AG63" s="49">
        <f t="shared" si="2"/>
        <v>2.2222222222222223</v>
      </c>
      <c r="AH63" s="49">
        <f t="shared" si="3"/>
        <v>305.8571428571429</v>
      </c>
      <c r="AI63" s="49">
        <f t="shared" si="4"/>
        <v>1</v>
      </c>
      <c r="AJ63" s="49">
        <f t="shared" si="5"/>
        <v>5.7214285714285715</v>
      </c>
      <c r="AK63" s="49">
        <f t="shared" si="6"/>
        <v>0.4838709677419355</v>
      </c>
      <c r="AL63" s="49">
        <f t="shared" si="7"/>
        <v>3.182051282051282</v>
      </c>
      <c r="AM63" s="49">
        <f t="shared" si="8"/>
        <v>43.085</v>
      </c>
      <c r="AN63" s="49">
        <f t="shared" si="9"/>
        <v>30.575000000000003</v>
      </c>
      <c r="AO63" s="49">
        <f t="shared" si="10"/>
        <v>147.73913043478262</v>
      </c>
      <c r="AP63" s="49">
        <f t="shared" si="11"/>
        <v>41.89375</v>
      </c>
      <c r="AQ63" s="49">
        <f t="shared" si="12"/>
        <v>83.14285714285714</v>
      </c>
      <c r="AR63" s="100">
        <f t="shared" si="43"/>
        <v>0.26302679918953814</v>
      </c>
      <c r="AS63" s="49">
        <f t="shared" si="13"/>
        <v>4.838709677419355</v>
      </c>
      <c r="AT63" s="49"/>
      <c r="AU63" s="49">
        <f t="shared" si="15"/>
        <v>0.06349206349206349</v>
      </c>
      <c r="AV63" s="49">
        <f t="shared" si="16"/>
        <v>0.061538461538461535</v>
      </c>
      <c r="AW63" s="100">
        <f t="shared" si="17"/>
        <v>0.7142857142857143</v>
      </c>
      <c r="AX63" s="100">
        <f t="shared" si="44"/>
        <v>-6.007142857142857</v>
      </c>
      <c r="AY63" s="100"/>
      <c r="AZ63" s="100">
        <f t="shared" si="45"/>
        <v>6.7214285714285715</v>
      </c>
      <c r="BA63" s="79"/>
      <c r="BB63" s="79"/>
      <c r="BC63" s="107">
        <f t="shared" si="46"/>
        <v>225.5811817168339</v>
      </c>
      <c r="BD63" s="107">
        <f t="shared" si="47"/>
        <v>130.7580357142857</v>
      </c>
      <c r="BE63" s="106">
        <f t="shared" si="48"/>
        <v>26.61035927679712</v>
      </c>
      <c r="BF63" s="104">
        <f>(('[2]setup'!$B$13*'[2]setup'!$B$14*'[2]setup'!$B$15)/10^(-R63))*10^6</f>
        <v>45.08102724267871</v>
      </c>
      <c r="BG63" s="110">
        <f t="shared" si="49"/>
        <v>10.64297774461674</v>
      </c>
      <c r="BH63" s="104">
        <f t="shared" si="50"/>
        <v>94.82314600254819</v>
      </c>
      <c r="BI63" s="104">
        <f t="shared" si="51"/>
        <v>225.84420851602343</v>
      </c>
      <c r="BJ63" s="104">
        <f t="shared" si="52"/>
        <v>186.48204070158116</v>
      </c>
      <c r="BK63" s="105">
        <f t="shared" si="53"/>
        <v>9.546364775255661</v>
      </c>
      <c r="BL63" s="106"/>
      <c r="BM63" s="107">
        <f>(3*('[2]setup'!$D$19*(10^-R63)^3)+2*('[2]setup'!$D$20*'[2]setup'!$D$19*((10^-R63)^2))+('[2]setup'!$D$21*'[2]setup'!$D$19*10^-R63)+('[2]setup'!$D$19*'[2]setup'!$D$22*(AP63/(10^6*2))*(10^-R63)^3))*10^6</f>
        <v>0.00028085423541357647</v>
      </c>
      <c r="BN63" s="108">
        <f t="shared" si="54"/>
        <v>50.00542641329443</v>
      </c>
      <c r="BO63" s="104">
        <f>(BN63/((('[2]setup'!$C$26)/10^-R63)+2*(('[2]setup'!$C$26*'[2]setup'!$C$27)/(10^-R63^2))+3*(('[2]setup'!$C$26*'[2]setup'!$C$27*'[2]setup'!$C$28)/(10^-R63^3))))/(10^-R63^3/(10^-R63^3+'[2]setup'!$C$26*10^-R63^2+'[2]setup'!$C$26*'[2]setup'!$C$27*10^-R63+'[2]setup'!$C$26*'[2]setup'!$C$27*'[2]setup'!$C$28))</f>
        <v>19.51126285536917</v>
      </c>
      <c r="BQ63" s="111">
        <f t="shared" si="30"/>
        <v>225.5811817168339</v>
      </c>
      <c r="BR63" s="111">
        <f t="shared" si="31"/>
        <v>130.7580357142857</v>
      </c>
      <c r="BS63" s="111">
        <f t="shared" si="32"/>
        <v>1.725180257446988</v>
      </c>
      <c r="BT63" s="111">
        <f t="shared" si="33"/>
        <v>93.82314600254819</v>
      </c>
      <c r="BU63" s="111">
        <f t="shared" si="34"/>
        <v>1.7769311220678323</v>
      </c>
    </row>
    <row r="64" spans="1:73" s="81" customFormat="1" ht="12.75">
      <c r="A64" s="82">
        <v>39735</v>
      </c>
      <c r="B64" s="2" t="s">
        <v>46</v>
      </c>
      <c r="C64" s="78">
        <v>950246</v>
      </c>
      <c r="E64" s="121">
        <v>0.006</v>
      </c>
      <c r="F64" s="77">
        <v>0.002533</v>
      </c>
      <c r="G64" s="77">
        <v>0.02006</v>
      </c>
      <c r="H64" s="77">
        <v>2.689</v>
      </c>
      <c r="I64" s="88">
        <v>0.01</v>
      </c>
      <c r="J64" s="98">
        <v>0.025</v>
      </c>
      <c r="K64" s="77">
        <v>0.005</v>
      </c>
      <c r="L64" s="77">
        <v>0.1</v>
      </c>
      <c r="M64" s="77">
        <v>0.5757</v>
      </c>
      <c r="N64" s="77">
        <v>0.2965</v>
      </c>
      <c r="O64" s="77">
        <v>2.816</v>
      </c>
      <c r="P64" s="98">
        <v>0.7066</v>
      </c>
      <c r="Q64" s="98">
        <v>3.295</v>
      </c>
      <c r="R64" s="77">
        <v>6.62</v>
      </c>
      <c r="S64" s="77">
        <v>17</v>
      </c>
      <c r="T64" s="77">
        <v>21.557</v>
      </c>
      <c r="U64" s="77">
        <v>0.05</v>
      </c>
      <c r="V64" s="77"/>
      <c r="W64" s="77">
        <v>0.002</v>
      </c>
      <c r="X64" s="77">
        <v>0.002</v>
      </c>
      <c r="Y64" s="77">
        <v>1.238</v>
      </c>
      <c r="Z64" s="77">
        <v>0.01</v>
      </c>
      <c r="AA64" s="77">
        <v>-0.025</v>
      </c>
      <c r="AE64" s="49">
        <f t="shared" si="0"/>
        <v>0.2142857142857143</v>
      </c>
      <c r="AF64" s="49">
        <f t="shared" si="1"/>
        <v>0.09210909090909092</v>
      </c>
      <c r="AG64" s="49">
        <f t="shared" si="2"/>
        <v>2.228888888888889</v>
      </c>
      <c r="AH64" s="49">
        <f t="shared" si="3"/>
        <v>384.14285714285717</v>
      </c>
      <c r="AI64" s="49">
        <f t="shared" si="4"/>
        <v>0.7142857142857143</v>
      </c>
      <c r="AJ64" s="49">
        <f t="shared" si="5"/>
        <v>1.7857142857142858</v>
      </c>
      <c r="AK64" s="49">
        <f t="shared" si="6"/>
        <v>0.4838709677419355</v>
      </c>
      <c r="AL64" s="49">
        <f t="shared" si="7"/>
        <v>2.5641025641025643</v>
      </c>
      <c r="AM64" s="49">
        <f t="shared" si="8"/>
        <v>28.784999999999997</v>
      </c>
      <c r="AN64" s="49">
        <f t="shared" si="9"/>
        <v>24.708333333333332</v>
      </c>
      <c r="AO64" s="49">
        <f t="shared" si="10"/>
        <v>122.43478260869564</v>
      </c>
      <c r="AP64" s="49">
        <f t="shared" si="11"/>
        <v>44.1625</v>
      </c>
      <c r="AQ64" s="49">
        <f t="shared" si="12"/>
        <v>94.14285714285714</v>
      </c>
      <c r="AR64" s="100">
        <f t="shared" si="43"/>
        <v>0.23988329190194896</v>
      </c>
      <c r="AS64" s="49">
        <f t="shared" si="13"/>
        <v>4.838709677419355</v>
      </c>
      <c r="AT64" s="49"/>
      <c r="AU64" s="49">
        <f t="shared" si="15"/>
        <v>0.06349206349206349</v>
      </c>
      <c r="AV64" s="49">
        <f t="shared" si="16"/>
        <v>0.061538461538461535</v>
      </c>
      <c r="AW64" s="100">
        <f t="shared" si="17"/>
        <v>0.7142857142857143</v>
      </c>
      <c r="AX64" s="100">
        <f t="shared" si="44"/>
        <v>-1.7857142857142856</v>
      </c>
      <c r="AY64" s="100"/>
      <c r="AZ64" s="100">
        <f t="shared" si="45"/>
        <v>2.5</v>
      </c>
      <c r="BA64" s="79"/>
      <c r="BB64" s="79"/>
      <c r="BC64" s="107">
        <f t="shared" si="46"/>
        <v>179.20650422041726</v>
      </c>
      <c r="BD64" s="107">
        <f t="shared" si="47"/>
        <v>140.0910714285714</v>
      </c>
      <c r="BE64" s="106">
        <f t="shared" si="48"/>
        <v>12.250463446940282</v>
      </c>
      <c r="BF64" s="104">
        <f>(('[2]setup'!$B$13*'[2]setup'!$B$14*'[2]setup'!$B$15)/10^(-R64))*10^6</f>
        <v>49.43036343133419</v>
      </c>
      <c r="BG64" s="110">
        <f t="shared" si="49"/>
        <v>11.917580136775554</v>
      </c>
      <c r="BH64" s="104">
        <f t="shared" si="50"/>
        <v>39.11543279184585</v>
      </c>
      <c r="BI64" s="104">
        <f t="shared" si="51"/>
        <v>179.4463875123192</v>
      </c>
      <c r="BJ64" s="104">
        <f t="shared" si="52"/>
        <v>201.43901499668115</v>
      </c>
      <c r="BK64" s="105">
        <f t="shared" si="53"/>
        <v>5.774079904215352</v>
      </c>
      <c r="BL64" s="106"/>
      <c r="BM64" s="107">
        <f>(3*('[2]setup'!$D$19*(10^-R64)^3)+2*('[2]setup'!$D$20*'[2]setup'!$D$19*((10^-R64)^2))+('[2]setup'!$D$21*'[2]setup'!$D$19*10^-R64)+('[2]setup'!$D$19*'[2]setup'!$D$22*(AP64/(10^6*2))*(10^-R64)^3))*10^6</f>
        <v>0.00025171921493568624</v>
      </c>
      <c r="BN64" s="108">
        <f t="shared" si="54"/>
        <v>-10.074795628371476</v>
      </c>
      <c r="BO64" s="104">
        <f>(BN64/((('[2]setup'!$C$26)/10^-R64)+2*(('[2]setup'!$C$26*'[2]setup'!$C$27)/(10^-R64^2))+3*(('[2]setup'!$C$26*'[2]setup'!$C$27*'[2]setup'!$C$28)/(10^-R64^3))))/(10^-R64^3/(10^-R64^3+'[2]setup'!$C$26*10^-R64^2+'[2]setup'!$C$26*'[2]setup'!$C$27*10^-R64+'[2]setup'!$C$26*'[2]setup'!$C$27*'[2]setup'!$C$28))</f>
        <v>-3.8958406647713613</v>
      </c>
      <c r="BQ64" s="111">
        <f t="shared" si="30"/>
        <v>179.20650422041723</v>
      </c>
      <c r="BR64" s="111">
        <f t="shared" si="31"/>
        <v>140.0910714285714</v>
      </c>
      <c r="BS64" s="111">
        <f t="shared" si="32"/>
        <v>1.2792143167510122</v>
      </c>
      <c r="BT64" s="111">
        <f t="shared" si="33"/>
        <v>38.401147077560125</v>
      </c>
      <c r="BU64" s="111">
        <f t="shared" si="34"/>
        <v>1.3005212113215017</v>
      </c>
    </row>
    <row r="65" spans="1:73" s="81" customFormat="1" ht="12.75">
      <c r="A65" s="82">
        <v>39757</v>
      </c>
      <c r="B65" s="2" t="s">
        <v>46</v>
      </c>
      <c r="C65" s="78">
        <v>953155</v>
      </c>
      <c r="E65" s="121">
        <v>0.006</v>
      </c>
      <c r="F65" s="77">
        <v>0.002769</v>
      </c>
      <c r="G65" s="77">
        <v>0.07874</v>
      </c>
      <c r="H65" s="77">
        <v>2.147</v>
      </c>
      <c r="I65" s="77">
        <v>0.01</v>
      </c>
      <c r="J65" s="98">
        <v>0.025</v>
      </c>
      <c r="K65" s="77">
        <v>0.005</v>
      </c>
      <c r="L65" s="77">
        <v>0.2227</v>
      </c>
      <c r="M65" s="77">
        <v>0.7222</v>
      </c>
      <c r="N65" s="77">
        <v>0.3721</v>
      </c>
      <c r="O65" s="77">
        <v>2.905</v>
      </c>
      <c r="P65" s="98">
        <v>0.5713</v>
      </c>
      <c r="Q65" s="98">
        <v>3.456</v>
      </c>
      <c r="R65" s="77">
        <v>6.396</v>
      </c>
      <c r="S65" s="77">
        <v>16.8</v>
      </c>
      <c r="T65" s="77">
        <v>23.56</v>
      </c>
      <c r="U65" s="77">
        <v>0.05</v>
      </c>
      <c r="V65" s="77"/>
      <c r="W65" s="77">
        <v>0.002</v>
      </c>
      <c r="X65" s="77">
        <v>0.002</v>
      </c>
      <c r="Y65" s="77">
        <v>3.464</v>
      </c>
      <c r="Z65" s="77">
        <v>0.1096</v>
      </c>
      <c r="AA65" s="77">
        <v>0.0746</v>
      </c>
      <c r="AB65" s="12"/>
      <c r="AE65" s="49">
        <f t="shared" si="0"/>
        <v>0.2142857142857143</v>
      </c>
      <c r="AF65" s="49">
        <f t="shared" si="1"/>
        <v>0.1006909090909091</v>
      </c>
      <c r="AG65" s="49">
        <f t="shared" si="2"/>
        <v>8.748888888888889</v>
      </c>
      <c r="AH65" s="49">
        <f t="shared" si="3"/>
        <v>306.71428571428567</v>
      </c>
      <c r="AI65" s="49">
        <f t="shared" si="4"/>
        <v>0.7142857142857143</v>
      </c>
      <c r="AJ65" s="49">
        <f t="shared" si="5"/>
        <v>1.7857142857142858</v>
      </c>
      <c r="AK65" s="49">
        <f t="shared" si="6"/>
        <v>0.4838709677419355</v>
      </c>
      <c r="AL65" s="49">
        <f t="shared" si="7"/>
        <v>5.71025641025641</v>
      </c>
      <c r="AM65" s="49">
        <f t="shared" si="8"/>
        <v>36.11</v>
      </c>
      <c r="AN65" s="49">
        <f t="shared" si="9"/>
        <v>31.008333333333333</v>
      </c>
      <c r="AO65" s="49">
        <f t="shared" si="10"/>
        <v>126.30434782608695</v>
      </c>
      <c r="AP65" s="49">
        <f t="shared" si="11"/>
        <v>35.706250000000004</v>
      </c>
      <c r="AQ65" s="49">
        <f t="shared" si="12"/>
        <v>98.74285714285715</v>
      </c>
      <c r="AR65" s="100">
        <f t="shared" si="43"/>
        <v>0.40179081084893997</v>
      </c>
      <c r="AS65" s="49">
        <f t="shared" si="13"/>
        <v>4.838709677419355</v>
      </c>
      <c r="AT65" s="49"/>
      <c r="AU65" s="49">
        <f t="shared" si="15"/>
        <v>0.06349206349206349</v>
      </c>
      <c r="AV65" s="49">
        <f t="shared" si="16"/>
        <v>0.061538461538461535</v>
      </c>
      <c r="AW65" s="100">
        <f t="shared" si="17"/>
        <v>7.828571428571429</v>
      </c>
      <c r="AX65" s="100">
        <f t="shared" si="44"/>
        <v>5.328571428571429</v>
      </c>
      <c r="AY65" s="100"/>
      <c r="AZ65" s="100">
        <f t="shared" si="45"/>
        <v>2.5</v>
      </c>
      <c r="BA65" s="79"/>
      <c r="BB65" s="79"/>
      <c r="BC65" s="107">
        <f t="shared" si="46"/>
        <v>199.84722328396242</v>
      </c>
      <c r="BD65" s="107">
        <f t="shared" si="47"/>
        <v>136.23482142857142</v>
      </c>
      <c r="BE65" s="106">
        <f t="shared" si="48"/>
        <v>18.92764069255814</v>
      </c>
      <c r="BF65" s="104">
        <f>(('[2]setup'!$B$13*'[2]setup'!$B$14*'[2]setup'!$B$15)/10^(-R65))*10^6</f>
        <v>29.5116711971698</v>
      </c>
      <c r="BG65" s="110">
        <f t="shared" si="49"/>
        <v>32.89389071695332</v>
      </c>
      <c r="BH65" s="104">
        <f t="shared" si="50"/>
        <v>63.612401855391</v>
      </c>
      <c r="BI65" s="104">
        <f t="shared" si="51"/>
        <v>200.24901409481137</v>
      </c>
      <c r="BJ65" s="104">
        <f t="shared" si="52"/>
        <v>198.64038334269452</v>
      </c>
      <c r="BK65" s="105">
        <f t="shared" si="53"/>
        <v>0.40327739028683435</v>
      </c>
      <c r="BL65" s="106"/>
      <c r="BM65" s="107">
        <f>(3*('[2]setup'!$D$19*(10^-R65)^3)+2*('[2]setup'!$D$20*'[2]setup'!$D$19*((10^-R65)^2))+('[2]setup'!$D$21*'[2]setup'!$D$19*10^-R65)+('[2]setup'!$D$19*'[2]setup'!$D$22*(AP65/(10^6*2))*(10^-R65)^3))*10^6</f>
        <v>0.00047616108984904103</v>
      </c>
      <c r="BN65" s="108">
        <f t="shared" si="54"/>
        <v>34.502997630159996</v>
      </c>
      <c r="BO65" s="104">
        <f>(BN65/((('[2]setup'!$C$26)/10^-R65)+2*(('[2]setup'!$C$26*'[2]setup'!$C$27)/(10^-R65^2))+3*(('[2]setup'!$C$26*'[2]setup'!$C$27*'[2]setup'!$C$28)/(10^-R65^3))))/(10^-R65^3/(10^-R65^3+'[2]setup'!$C$26*10^-R65^2+'[2]setup'!$C$26*'[2]setup'!$C$27*10^-R65+'[2]setup'!$C$26*'[2]setup'!$C$27*'[2]setup'!$C$28))</f>
        <v>14.065193582592988</v>
      </c>
      <c r="BQ65" s="111">
        <f t="shared" si="30"/>
        <v>199.84722328396242</v>
      </c>
      <c r="BR65" s="111">
        <f t="shared" si="31"/>
        <v>136.23482142857142</v>
      </c>
      <c r="BS65" s="111">
        <f t="shared" si="32"/>
        <v>1.4669320309473397</v>
      </c>
      <c r="BT65" s="111">
        <f t="shared" si="33"/>
        <v>62.89811614110528</v>
      </c>
      <c r="BU65" s="111">
        <f t="shared" si="34"/>
        <v>1.2791238929146538</v>
      </c>
    </row>
    <row r="66" spans="1:73" s="81" customFormat="1" ht="12.75">
      <c r="A66" s="82">
        <v>39840</v>
      </c>
      <c r="B66" s="2" t="s">
        <v>46</v>
      </c>
      <c r="C66" s="78">
        <v>964401</v>
      </c>
      <c r="E66" s="77">
        <v>0.03071</v>
      </c>
      <c r="F66" s="77">
        <v>0.002</v>
      </c>
      <c r="G66" s="77">
        <v>0.02784</v>
      </c>
      <c r="H66" s="77">
        <v>3.495</v>
      </c>
      <c r="I66" s="77">
        <v>0.01</v>
      </c>
      <c r="J66" s="98">
        <v>0.05411</v>
      </c>
      <c r="K66" s="77">
        <v>0.005</v>
      </c>
      <c r="L66" s="77">
        <v>0.2346</v>
      </c>
      <c r="M66" s="77">
        <v>0.7858</v>
      </c>
      <c r="N66" s="77">
        <v>0.4205</v>
      </c>
      <c r="O66" s="77">
        <v>3.257</v>
      </c>
      <c r="P66" s="98">
        <v>0.6053</v>
      </c>
      <c r="Q66" s="98">
        <v>3.328</v>
      </c>
      <c r="R66" s="77">
        <v>6.473</v>
      </c>
      <c r="S66" s="77">
        <v>18.2</v>
      </c>
      <c r="T66" s="77">
        <v>24.82</v>
      </c>
      <c r="U66" s="77">
        <v>0.05</v>
      </c>
      <c r="V66" s="77"/>
      <c r="W66" s="77">
        <v>0.002</v>
      </c>
      <c r="X66" s="77">
        <v>0.002</v>
      </c>
      <c r="Y66" s="77">
        <v>1.782</v>
      </c>
      <c r="Z66" s="77">
        <v>0.1022</v>
      </c>
      <c r="AA66" s="77">
        <v>0.03809</v>
      </c>
      <c r="AE66" s="49">
        <f t="shared" si="0"/>
        <v>1.0967857142857145</v>
      </c>
      <c r="AF66" s="49">
        <f t="shared" si="1"/>
        <v>0.07272727272727272</v>
      </c>
      <c r="AG66" s="49">
        <f t="shared" si="2"/>
        <v>3.0933333333333333</v>
      </c>
      <c r="AH66" s="49">
        <f t="shared" si="3"/>
        <v>499.2857142857143</v>
      </c>
      <c r="AI66" s="49">
        <f t="shared" si="4"/>
        <v>0.7142857142857143</v>
      </c>
      <c r="AJ66" s="49">
        <f t="shared" si="5"/>
        <v>3.8649999999999998</v>
      </c>
      <c r="AK66" s="49">
        <f t="shared" si="6"/>
        <v>0.4838709677419355</v>
      </c>
      <c r="AL66" s="49">
        <f t="shared" si="7"/>
        <v>6.015384615384615</v>
      </c>
      <c r="AM66" s="49">
        <f t="shared" si="8"/>
        <v>39.290000000000006</v>
      </c>
      <c r="AN66" s="49">
        <f t="shared" si="9"/>
        <v>35.041666666666664</v>
      </c>
      <c r="AO66" s="49">
        <f t="shared" si="10"/>
        <v>141.6086956521739</v>
      </c>
      <c r="AP66" s="49">
        <f t="shared" si="11"/>
        <v>37.83125</v>
      </c>
      <c r="AQ66" s="49">
        <f t="shared" si="12"/>
        <v>95.08571428571429</v>
      </c>
      <c r="AR66" s="100">
        <f t="shared" si="43"/>
        <v>0.3365115693754908</v>
      </c>
      <c r="AS66" s="49">
        <f t="shared" si="13"/>
        <v>4.838709677419355</v>
      </c>
      <c r="AT66" s="49"/>
      <c r="AU66" s="49">
        <f t="shared" si="15"/>
        <v>0.06349206349206349</v>
      </c>
      <c r="AV66" s="49">
        <f t="shared" si="16"/>
        <v>0.061538461538461535</v>
      </c>
      <c r="AW66" s="100">
        <f t="shared" si="17"/>
        <v>7.3</v>
      </c>
      <c r="AX66" s="100">
        <f t="shared" si="44"/>
        <v>2.720714285714286</v>
      </c>
      <c r="AY66" s="100"/>
      <c r="AZ66" s="100">
        <f t="shared" si="45"/>
        <v>4.579285714285714</v>
      </c>
      <c r="BA66" s="79"/>
      <c r="BB66" s="79"/>
      <c r="BC66" s="107">
        <f t="shared" si="46"/>
        <v>222.67003264851093</v>
      </c>
      <c r="BD66" s="107">
        <f t="shared" si="47"/>
        <v>136.78196428571428</v>
      </c>
      <c r="BE66" s="106">
        <f t="shared" si="48"/>
        <v>23.894169206274565</v>
      </c>
      <c r="BF66" s="104">
        <f>(('[2]setup'!$B$13*'[2]setup'!$B$14*'[2]setup'!$B$15)/10^(-R66))*10^6</f>
        <v>35.236584352281625</v>
      </c>
      <c r="BG66" s="110">
        <f t="shared" si="49"/>
        <v>17.008521295652546</v>
      </c>
      <c r="BH66" s="104">
        <f t="shared" si="50"/>
        <v>85.88806836279662</v>
      </c>
      <c r="BI66" s="104">
        <f t="shared" si="51"/>
        <v>223.00654421788641</v>
      </c>
      <c r="BJ66" s="104">
        <f t="shared" si="52"/>
        <v>189.02706993364848</v>
      </c>
      <c r="BK66" s="105">
        <f t="shared" si="53"/>
        <v>8.246772379047016</v>
      </c>
      <c r="BL66" s="106"/>
      <c r="BM66" s="107">
        <f>(3*('[2]setup'!$D$19*(10^-R66)^3)+2*('[2]setup'!$D$20*'[2]setup'!$D$19*((10^-R66)^2))+('[2]setup'!$D$21*'[2]setup'!$D$19*10^-R66)+('[2]setup'!$D$19*'[2]setup'!$D$22*(AP66/(10^6*2))*(10^-R66)^3))*10^6</f>
        <v>0.00037974039599222614</v>
      </c>
      <c r="BN66" s="108">
        <f t="shared" si="54"/>
        <v>50.98837532028648</v>
      </c>
      <c r="BO66" s="104">
        <f>(BN66/((('[2]setup'!$C$26)/10^-R66)+2*(('[2]setup'!$C$26*'[2]setup'!$C$27)/(10^-R66^2))+3*(('[2]setup'!$C$26*'[2]setup'!$C$27*'[2]setup'!$C$28)/(10^-R66^3))))/(10^-R66^3/(10^-R66^3+'[2]setup'!$C$26*10^-R66^2+'[2]setup'!$C$26*'[2]setup'!$C$27*10^-R66+'[2]setup'!$C$26*'[2]setup'!$C$27*'[2]setup'!$C$28))</f>
        <v>20.39995097530738</v>
      </c>
      <c r="BQ66" s="111">
        <f t="shared" si="30"/>
        <v>222.6700326485109</v>
      </c>
      <c r="BR66" s="111">
        <f t="shared" si="31"/>
        <v>136.78196428571428</v>
      </c>
      <c r="BS66" s="111">
        <f t="shared" si="32"/>
        <v>1.6279195419608907</v>
      </c>
      <c r="BT66" s="111">
        <f t="shared" si="33"/>
        <v>85.17378264851092</v>
      </c>
      <c r="BU66" s="111">
        <f t="shared" si="34"/>
        <v>1.4892741429765886</v>
      </c>
    </row>
    <row r="67" spans="1:73" s="81" customFormat="1" ht="12.75">
      <c r="A67" s="82">
        <v>39875</v>
      </c>
      <c r="B67" s="2" t="s">
        <v>46</v>
      </c>
      <c r="C67" s="78">
        <v>968386</v>
      </c>
      <c r="E67" s="121">
        <v>0.006</v>
      </c>
      <c r="F67" s="77">
        <v>0.002919</v>
      </c>
      <c r="G67" s="77">
        <v>0.026</v>
      </c>
      <c r="H67" s="77">
        <v>2.386</v>
      </c>
      <c r="I67" s="77">
        <v>0.025</v>
      </c>
      <c r="J67" s="98">
        <v>0.02823</v>
      </c>
      <c r="K67" s="77">
        <v>0.005</v>
      </c>
      <c r="L67" s="77">
        <v>0.2055</v>
      </c>
      <c r="M67" s="77">
        <v>0.5561</v>
      </c>
      <c r="N67" s="77">
        <v>0.2937</v>
      </c>
      <c r="O67" s="77">
        <v>2.865</v>
      </c>
      <c r="P67" s="98">
        <v>0.5832</v>
      </c>
      <c r="Q67" s="98">
        <v>2.567</v>
      </c>
      <c r="R67" s="77">
        <v>6.413</v>
      </c>
      <c r="S67" s="77">
        <v>19</v>
      </c>
      <c r="T67" s="77">
        <v>20.19</v>
      </c>
      <c r="U67" s="77">
        <v>0.05</v>
      </c>
      <c r="V67" s="77"/>
      <c r="W67" s="77">
        <v>0.002</v>
      </c>
      <c r="X67" s="77">
        <v>0.002</v>
      </c>
      <c r="Y67" s="77">
        <v>1.354</v>
      </c>
      <c r="Z67" s="77">
        <v>0.01</v>
      </c>
      <c r="AA67" s="77">
        <v>-0.04323</v>
      </c>
      <c r="AE67" s="49">
        <f t="shared" si="0"/>
        <v>0.2142857142857143</v>
      </c>
      <c r="AF67" s="49">
        <f t="shared" si="1"/>
        <v>0.10614545454545454</v>
      </c>
      <c r="AG67" s="49">
        <f t="shared" si="2"/>
        <v>2.888888888888889</v>
      </c>
      <c r="AH67" s="49">
        <f t="shared" si="3"/>
        <v>340.85714285714283</v>
      </c>
      <c r="AI67" s="49">
        <f t="shared" si="4"/>
        <v>1.7857142857142858</v>
      </c>
      <c r="AJ67" s="49">
        <f t="shared" si="5"/>
        <v>2.0164285714285715</v>
      </c>
      <c r="AK67" s="49">
        <f t="shared" si="6"/>
        <v>0.4838709677419355</v>
      </c>
      <c r="AL67" s="49">
        <f t="shared" si="7"/>
        <v>5.269230769230769</v>
      </c>
      <c r="AM67" s="49">
        <f t="shared" si="8"/>
        <v>27.805000000000003</v>
      </c>
      <c r="AN67" s="49">
        <f t="shared" si="9"/>
        <v>24.475</v>
      </c>
      <c r="AO67" s="49">
        <f t="shared" si="10"/>
        <v>124.56521739130436</v>
      </c>
      <c r="AP67" s="49">
        <f t="shared" si="11"/>
        <v>36.45</v>
      </c>
      <c r="AQ67" s="49">
        <f t="shared" si="12"/>
        <v>73.34285714285716</v>
      </c>
      <c r="AR67" s="100">
        <f t="shared" si="43"/>
        <v>0.3863669770540689</v>
      </c>
      <c r="AS67" s="49">
        <f t="shared" si="13"/>
        <v>4.838709677419355</v>
      </c>
      <c r="AT67" s="49"/>
      <c r="AU67" s="49">
        <f t="shared" si="15"/>
        <v>0.06349206349206349</v>
      </c>
      <c r="AV67" s="49">
        <f t="shared" si="16"/>
        <v>0.061538461538461535</v>
      </c>
      <c r="AW67" s="100">
        <f t="shared" si="17"/>
        <v>0.7142857142857143</v>
      </c>
      <c r="AX67" s="100">
        <f t="shared" si="44"/>
        <v>-3.0878571428571426</v>
      </c>
      <c r="AY67" s="100"/>
      <c r="AZ67" s="100">
        <f t="shared" si="45"/>
        <v>3.802142857142857</v>
      </c>
      <c r="BA67" s="79"/>
      <c r="BB67" s="79"/>
      <c r="BC67" s="107">
        <f t="shared" si="46"/>
        <v>183.9001624462494</v>
      </c>
      <c r="BD67" s="107">
        <f t="shared" si="47"/>
        <v>111.80928571428572</v>
      </c>
      <c r="BE67" s="106">
        <f t="shared" si="48"/>
        <v>24.378956161328635</v>
      </c>
      <c r="BF67" s="104">
        <f>(('[2]setup'!$B$13*'[2]setup'!$B$14*'[2]setup'!$B$15)/10^(-R67))*10^6</f>
        <v>30.689782005253477</v>
      </c>
      <c r="BG67" s="110">
        <f t="shared" si="49"/>
        <v>12.872535887068992</v>
      </c>
      <c r="BH67" s="104">
        <f t="shared" si="50"/>
        <v>72.09087673196366</v>
      </c>
      <c r="BI67" s="104">
        <f t="shared" si="51"/>
        <v>184.28652942330348</v>
      </c>
      <c r="BJ67" s="104">
        <f t="shared" si="52"/>
        <v>155.3716036066082</v>
      </c>
      <c r="BK67" s="105">
        <f t="shared" si="53"/>
        <v>8.512949641087765</v>
      </c>
      <c r="BL67" s="106"/>
      <c r="BM67" s="107">
        <f>(3*('[2]setup'!$D$19*(10^-R67)^3)+2*('[2]setup'!$D$20*'[2]setup'!$D$19*((10^-R67)^2))+('[2]setup'!$D$21*'[2]setup'!$D$19*10^-R67)+('[2]setup'!$D$19*'[2]setup'!$D$22*(AP67/(10^6*2))*(10^-R67)^3))*10^6</f>
        <v>0.00045262347621353</v>
      </c>
      <c r="BN67" s="108">
        <f t="shared" si="54"/>
        <v>41.787914327240486</v>
      </c>
      <c r="BO67" s="104">
        <f>(BN67/((('[2]setup'!$C$26)/10^-R67)+2*(('[2]setup'!$C$26*'[2]setup'!$C$27)/(10^-R67^2))+3*(('[2]setup'!$C$26*'[2]setup'!$C$27*'[2]setup'!$C$28)/(10^-R67^3))))/(10^-R67^3/(10^-R67^3+'[2]setup'!$C$26*10^-R67^2+'[2]setup'!$C$26*'[2]setup'!$C$27*10^-R67+'[2]setup'!$C$26*'[2]setup'!$C$27*'[2]setup'!$C$28))</f>
        <v>16.964048942203707</v>
      </c>
      <c r="BQ67" s="111">
        <f t="shared" si="30"/>
        <v>183.90016244624942</v>
      </c>
      <c r="BR67" s="111">
        <f t="shared" si="31"/>
        <v>111.80928571428572</v>
      </c>
      <c r="BS67" s="111">
        <f t="shared" si="32"/>
        <v>1.6447664545159755</v>
      </c>
      <c r="BT67" s="111">
        <f t="shared" si="33"/>
        <v>70.3051624462494</v>
      </c>
      <c r="BU67" s="111">
        <f t="shared" si="34"/>
        <v>1.6983960298775425</v>
      </c>
    </row>
    <row r="68" spans="1:73" s="81" customFormat="1" ht="12.75">
      <c r="A68" s="82">
        <v>39899</v>
      </c>
      <c r="B68" s="2" t="s">
        <v>46</v>
      </c>
      <c r="C68" s="78">
        <v>971530</v>
      </c>
      <c r="E68" s="121">
        <v>0.006</v>
      </c>
      <c r="F68" s="77">
        <v>0.002</v>
      </c>
      <c r="G68" s="77">
        <v>0.03663</v>
      </c>
      <c r="H68" s="77">
        <v>2.244</v>
      </c>
      <c r="I68" s="77">
        <v>0.01</v>
      </c>
      <c r="J68" s="98">
        <v>0.025</v>
      </c>
      <c r="K68" s="77">
        <v>0.006</v>
      </c>
      <c r="L68" s="77">
        <v>0.1</v>
      </c>
      <c r="M68" s="77">
        <v>0.6093</v>
      </c>
      <c r="N68" s="77">
        <v>0.3216</v>
      </c>
      <c r="O68" s="77">
        <v>2.892</v>
      </c>
      <c r="P68" s="98">
        <v>0.6184</v>
      </c>
      <c r="Q68" s="98">
        <v>3.102</v>
      </c>
      <c r="R68" s="77">
        <v>6.442</v>
      </c>
      <c r="S68" s="77">
        <v>19.1</v>
      </c>
      <c r="T68" s="77">
        <v>20.39</v>
      </c>
      <c r="U68" s="77">
        <v>0.05</v>
      </c>
      <c r="V68" s="98"/>
      <c r="W68" s="77">
        <v>0.002</v>
      </c>
      <c r="X68" s="77">
        <v>0.002</v>
      </c>
      <c r="Y68" s="77">
        <v>1.526</v>
      </c>
      <c r="Z68" s="77">
        <v>0.01</v>
      </c>
      <c r="AA68" s="77">
        <v>-0.025</v>
      </c>
      <c r="AE68" s="49">
        <f t="shared" si="0"/>
        <v>0.2142857142857143</v>
      </c>
      <c r="AF68" s="49">
        <f t="shared" si="1"/>
        <v>0.07272727272727272</v>
      </c>
      <c r="AG68" s="49">
        <f t="shared" si="2"/>
        <v>4.07</v>
      </c>
      <c r="AH68" s="49">
        <f t="shared" si="3"/>
        <v>320.5714285714286</v>
      </c>
      <c r="AI68" s="49">
        <f t="shared" si="4"/>
        <v>0.7142857142857143</v>
      </c>
      <c r="AJ68" s="49">
        <f t="shared" si="5"/>
        <v>1.7857142857142858</v>
      </c>
      <c r="AK68" s="49">
        <f t="shared" si="6"/>
        <v>0.5806451612903225</v>
      </c>
      <c r="AL68" s="49">
        <f t="shared" si="7"/>
        <v>2.5641025641025643</v>
      </c>
      <c r="AM68" s="49">
        <f t="shared" si="8"/>
        <v>30.465</v>
      </c>
      <c r="AN68" s="49">
        <f t="shared" si="9"/>
        <v>26.8</v>
      </c>
      <c r="AO68" s="49">
        <f t="shared" si="10"/>
        <v>125.73913043478261</v>
      </c>
      <c r="AP68" s="49">
        <f t="shared" si="11"/>
        <v>38.65</v>
      </c>
      <c r="AQ68" s="49">
        <f t="shared" si="12"/>
        <v>88.62857142857143</v>
      </c>
      <c r="AR68" s="100">
        <f t="shared" si="43"/>
        <v>0.36140986263961306</v>
      </c>
      <c r="AS68" s="49">
        <f t="shared" si="13"/>
        <v>4.838709677419355</v>
      </c>
      <c r="AT68" s="49"/>
      <c r="AU68" s="49">
        <f t="shared" si="15"/>
        <v>0.06349206349206349</v>
      </c>
      <c r="AV68" s="49">
        <f t="shared" si="16"/>
        <v>0.061538461538461535</v>
      </c>
      <c r="AW68" s="100">
        <f t="shared" si="17"/>
        <v>0.7142857142857143</v>
      </c>
      <c r="AX68" s="100">
        <f t="shared" si="44"/>
        <v>-1.7857142857142856</v>
      </c>
      <c r="AY68" s="100"/>
      <c r="AZ68" s="100">
        <f t="shared" si="45"/>
        <v>2.5</v>
      </c>
      <c r="BA68" s="79"/>
      <c r="BB68" s="79"/>
      <c r="BC68" s="107">
        <f t="shared" si="46"/>
        <v>186.2825187131709</v>
      </c>
      <c r="BD68" s="107">
        <f t="shared" si="47"/>
        <v>129.06428571428572</v>
      </c>
      <c r="BE68" s="106">
        <f t="shared" si="48"/>
        <v>18.144541880730504</v>
      </c>
      <c r="BF68" s="104">
        <f>(('[2]setup'!$B$13*'[2]setup'!$B$14*'[2]setup'!$B$15)/10^(-R68))*10^6</f>
        <v>32.809061194995984</v>
      </c>
      <c r="BG68" s="110">
        <f t="shared" si="49"/>
        <v>14.535950529522596</v>
      </c>
      <c r="BH68" s="104">
        <f t="shared" si="50"/>
        <v>57.218232998885185</v>
      </c>
      <c r="BI68" s="104">
        <f t="shared" si="51"/>
        <v>186.64392857581052</v>
      </c>
      <c r="BJ68" s="104">
        <f t="shared" si="52"/>
        <v>176.40929743880432</v>
      </c>
      <c r="BK68" s="105">
        <f t="shared" si="53"/>
        <v>2.819044262285168</v>
      </c>
      <c r="BL68" s="106"/>
      <c r="BM68" s="107">
        <f>(3*('[2]setup'!$D$19*(10^-R68)^3)+2*('[2]setup'!$D$20*'[2]setup'!$D$19*((10^-R68)^2))+('[2]setup'!$D$21*'[2]setup'!$D$19*10^-R68)+('[2]setup'!$D$19*'[2]setup'!$D$22*(AP68/(10^6*2))*(10^-R68)^3))*10^6</f>
        <v>0.00041553811860341443</v>
      </c>
      <c r="BN68" s="108">
        <f t="shared" si="54"/>
        <v>24.770997204647415</v>
      </c>
      <c r="BO68" s="104">
        <f>(BN68/((('[2]setup'!$C$26)/10^-R68)+2*(('[2]setup'!$C$26*'[2]setup'!$C$27)/(10^-R68^2))+3*(('[2]setup'!$C$26*'[2]setup'!$C$27*'[2]setup'!$C$28)/(10^-R68^3))))/(10^-R68^3/(10^-R68^3+'[2]setup'!$C$26*10^-R68^2+'[2]setup'!$C$26*'[2]setup'!$C$27*10^-R68+'[2]setup'!$C$26*'[2]setup'!$C$27*'[2]setup'!$C$28))</f>
        <v>9.985101964664132</v>
      </c>
      <c r="BQ68" s="111">
        <f t="shared" si="30"/>
        <v>186.28251871317087</v>
      </c>
      <c r="BR68" s="111">
        <f t="shared" si="31"/>
        <v>129.06428571428572</v>
      </c>
      <c r="BS68" s="111">
        <f t="shared" si="32"/>
        <v>1.4433312645881853</v>
      </c>
      <c r="BT68" s="111">
        <f t="shared" si="33"/>
        <v>56.50394728459946</v>
      </c>
      <c r="BU68" s="111">
        <f t="shared" si="34"/>
        <v>1.4187200403666638</v>
      </c>
    </row>
    <row r="69" spans="1:73" s="81" customFormat="1" ht="12.75">
      <c r="A69" s="83">
        <v>39910</v>
      </c>
      <c r="B69" s="2" t="s">
        <v>46</v>
      </c>
      <c r="C69" s="78">
        <v>971848</v>
      </c>
      <c r="E69" s="121">
        <v>0.006</v>
      </c>
      <c r="F69" s="77">
        <v>0.002809</v>
      </c>
      <c r="G69" s="77">
        <v>0.0292</v>
      </c>
      <c r="H69" s="77">
        <v>2.288</v>
      </c>
      <c r="I69" s="88">
        <v>0.01</v>
      </c>
      <c r="J69" s="98">
        <v>0.025</v>
      </c>
      <c r="K69" s="88">
        <v>0.005</v>
      </c>
      <c r="L69" s="77">
        <v>0.3343</v>
      </c>
      <c r="M69" s="77">
        <v>0.6148</v>
      </c>
      <c r="N69" s="77">
        <v>0.337</v>
      </c>
      <c r="O69" s="77">
        <v>3.26</v>
      </c>
      <c r="P69" s="98">
        <v>0.5663</v>
      </c>
      <c r="Q69" s="98">
        <v>2.662</v>
      </c>
      <c r="R69" s="77">
        <v>6.324</v>
      </c>
      <c r="S69" s="77">
        <v>13.8</v>
      </c>
      <c r="T69" s="77">
        <v>19.51</v>
      </c>
      <c r="U69" s="77">
        <v>0.05</v>
      </c>
      <c r="V69" s="77"/>
      <c r="W69" s="77">
        <v>0.002</v>
      </c>
      <c r="X69" s="77">
        <v>0.002</v>
      </c>
      <c r="Y69" s="77">
        <v>1.179</v>
      </c>
      <c r="Z69" s="77">
        <v>0.01</v>
      </c>
      <c r="AA69" s="77">
        <v>-0.025</v>
      </c>
      <c r="AB69" s="12"/>
      <c r="AE69" s="49">
        <f t="shared" si="0"/>
        <v>0.2142857142857143</v>
      </c>
      <c r="AF69" s="49">
        <f t="shared" si="1"/>
        <v>0.10214545454545454</v>
      </c>
      <c r="AG69" s="49">
        <f t="shared" si="2"/>
        <v>3.2444444444444445</v>
      </c>
      <c r="AH69" s="49">
        <f t="shared" si="3"/>
        <v>326.85714285714283</v>
      </c>
      <c r="AI69" s="49">
        <f t="shared" si="4"/>
        <v>0.7142857142857143</v>
      </c>
      <c r="AJ69" s="49">
        <f t="shared" si="5"/>
        <v>1.7857142857142858</v>
      </c>
      <c r="AK69" s="49">
        <f t="shared" si="6"/>
        <v>0.4838709677419355</v>
      </c>
      <c r="AL69" s="49">
        <f t="shared" si="7"/>
        <v>8.571794871794872</v>
      </c>
      <c r="AM69" s="49">
        <f t="shared" si="8"/>
        <v>30.74</v>
      </c>
      <c r="AN69" s="49">
        <f t="shared" si="9"/>
        <v>28.083333333333336</v>
      </c>
      <c r="AO69" s="49">
        <f t="shared" si="10"/>
        <v>141.7391304347826</v>
      </c>
      <c r="AP69" s="49">
        <f t="shared" si="11"/>
        <v>35.393750000000004</v>
      </c>
      <c r="AQ69" s="49">
        <f t="shared" si="12"/>
        <v>76.05714285714285</v>
      </c>
      <c r="AR69" s="100">
        <f t="shared" si="43"/>
        <v>0.4742419852602448</v>
      </c>
      <c r="AS69" s="49">
        <f t="shared" si="13"/>
        <v>4.838709677419355</v>
      </c>
      <c r="AT69" s="49"/>
      <c r="AU69" s="49">
        <f t="shared" si="15"/>
        <v>0.06349206349206349</v>
      </c>
      <c r="AV69" s="49">
        <f t="shared" si="16"/>
        <v>0.061538461538461535</v>
      </c>
      <c r="AW69" s="100">
        <f t="shared" si="17"/>
        <v>0.7142857142857143</v>
      </c>
      <c r="AX69" s="100">
        <f t="shared" si="44"/>
        <v>-1.7857142857142856</v>
      </c>
      <c r="AY69" s="100"/>
      <c r="AZ69" s="100">
        <f t="shared" si="45"/>
        <v>2.5</v>
      </c>
      <c r="BA69" s="79"/>
      <c r="BB69" s="79"/>
      <c r="BC69" s="107">
        <f t="shared" si="46"/>
        <v>209.84854435419652</v>
      </c>
      <c r="BD69" s="107">
        <f t="shared" si="47"/>
        <v>113.23660714285714</v>
      </c>
      <c r="BE69" s="106">
        <f t="shared" si="48"/>
        <v>29.902933255730396</v>
      </c>
      <c r="BF69" s="104">
        <f>(('[2]setup'!$B$13*'[2]setup'!$B$14*'[2]setup'!$B$15)/10^(-R69))*10^6</f>
        <v>25.003096875345673</v>
      </c>
      <c r="BG69" s="110">
        <f t="shared" si="49"/>
        <v>11.137384833723381</v>
      </c>
      <c r="BH69" s="104">
        <f t="shared" si="50"/>
        <v>96.6119372113394</v>
      </c>
      <c r="BI69" s="104">
        <f t="shared" si="51"/>
        <v>210.3227863394568</v>
      </c>
      <c r="BJ69" s="104">
        <f t="shared" si="52"/>
        <v>149.3770888519262</v>
      </c>
      <c r="BK69" s="105">
        <f t="shared" si="53"/>
        <v>16.94348585889935</v>
      </c>
      <c r="BL69" s="106"/>
      <c r="BM69" s="107">
        <f>(3*('[2]setup'!$D$19*(10^-R69)^3)+2*('[2]setup'!$D$20*'[2]setup'!$D$19*((10^-R69)^2))+('[2]setup'!$D$21*'[2]setup'!$D$19*10^-R69)+('[2]setup'!$D$19*'[2]setup'!$D$22*(AP69/(10^6*2))*(10^-R69)^3))*10^6</f>
        <v>0.0005932630900537249</v>
      </c>
      <c r="BN69" s="108">
        <f t="shared" si="54"/>
        <v>72.08367558434404</v>
      </c>
      <c r="BO69" s="104">
        <f>(BN69/((('[2]setup'!$C$26)/10^-R69)+2*(('[2]setup'!$C$26*'[2]setup'!$C$27)/(10^-R69^2))+3*(('[2]setup'!$C$26*'[2]setup'!$C$27*'[2]setup'!$C$28)/(10^-R69^3))))/(10^-R69^3/(10^-R69^3+'[2]setup'!$C$26*10^-R69^2+'[2]setup'!$C$26*'[2]setup'!$C$27*10^-R69+'[2]setup'!$C$26*'[2]setup'!$C$27*'[2]setup'!$C$28))</f>
        <v>29.91226616109471</v>
      </c>
      <c r="BQ69" s="111">
        <f t="shared" si="30"/>
        <v>209.84854435419652</v>
      </c>
      <c r="BR69" s="111">
        <f t="shared" si="31"/>
        <v>113.23660714285714</v>
      </c>
      <c r="BS69" s="111">
        <f t="shared" si="32"/>
        <v>1.8531864354559442</v>
      </c>
      <c r="BT69" s="111">
        <f t="shared" si="33"/>
        <v>95.89765149705366</v>
      </c>
      <c r="BU69" s="111">
        <f t="shared" si="34"/>
        <v>1.8635873648450005</v>
      </c>
    </row>
    <row r="70" spans="1:73" s="81" customFormat="1" ht="12.75">
      <c r="A70" s="83">
        <v>39925</v>
      </c>
      <c r="B70" s="2" t="s">
        <v>46</v>
      </c>
      <c r="C70" s="78">
        <v>973764</v>
      </c>
      <c r="E70" s="77">
        <v>0.03162</v>
      </c>
      <c r="F70" s="77">
        <v>0.002</v>
      </c>
      <c r="G70" s="77">
        <v>0.02998</v>
      </c>
      <c r="H70" s="77">
        <v>2.676</v>
      </c>
      <c r="I70" s="77">
        <v>0.01</v>
      </c>
      <c r="J70" s="98">
        <v>0.025</v>
      </c>
      <c r="K70" s="77">
        <v>0.006</v>
      </c>
      <c r="L70" s="77">
        <v>0.2304</v>
      </c>
      <c r="M70" s="77">
        <v>0.8388</v>
      </c>
      <c r="N70" s="77">
        <v>0.395</v>
      </c>
      <c r="O70" s="77">
        <v>3.793</v>
      </c>
      <c r="P70" s="98">
        <v>0.07007</v>
      </c>
      <c r="Q70" s="98">
        <v>0.4</v>
      </c>
      <c r="R70" s="77">
        <v>6.611</v>
      </c>
      <c r="S70" s="77">
        <v>20.7</v>
      </c>
      <c r="T70" s="77">
        <v>22.13</v>
      </c>
      <c r="U70" s="77">
        <v>0.05</v>
      </c>
      <c r="V70" s="77"/>
      <c r="W70" s="77">
        <v>0.002</v>
      </c>
      <c r="X70" s="77">
        <v>0.002</v>
      </c>
      <c r="Y70" s="77">
        <v>1.486</v>
      </c>
      <c r="Z70" s="77">
        <v>0.01</v>
      </c>
      <c r="AA70" s="77">
        <v>-0.025</v>
      </c>
      <c r="AE70" s="49">
        <f t="shared" si="0"/>
        <v>1.1292857142857144</v>
      </c>
      <c r="AF70" s="49">
        <f t="shared" si="1"/>
        <v>0.07272727272727272</v>
      </c>
      <c r="AG70" s="49">
        <f t="shared" si="2"/>
        <v>3.331111111111111</v>
      </c>
      <c r="AH70" s="49">
        <f t="shared" si="3"/>
        <v>382.2857142857143</v>
      </c>
      <c r="AI70" s="49">
        <f t="shared" si="4"/>
        <v>0.7142857142857143</v>
      </c>
      <c r="AJ70" s="49">
        <f t="shared" si="5"/>
        <v>1.7857142857142858</v>
      </c>
      <c r="AK70" s="49">
        <f t="shared" si="6"/>
        <v>0.5806451612903225</v>
      </c>
      <c r="AL70" s="49">
        <f t="shared" si="7"/>
        <v>5.907692307692307</v>
      </c>
      <c r="AM70" s="49">
        <f t="shared" si="8"/>
        <v>41.94</v>
      </c>
      <c r="AN70" s="49">
        <f t="shared" si="9"/>
        <v>32.91666666666667</v>
      </c>
      <c r="AO70" s="49">
        <f t="shared" si="10"/>
        <v>164.91304347826087</v>
      </c>
      <c r="AP70" s="49">
        <f t="shared" si="11"/>
        <v>4.379375</v>
      </c>
      <c r="AQ70" s="49">
        <f t="shared" si="12"/>
        <v>11.428571428571429</v>
      </c>
      <c r="AR70" s="100">
        <f t="shared" si="43"/>
        <v>0.24490632418447467</v>
      </c>
      <c r="AS70" s="49">
        <f t="shared" si="13"/>
        <v>4.838709677419355</v>
      </c>
      <c r="AT70" s="49"/>
      <c r="AU70" s="49">
        <f t="shared" si="15"/>
        <v>0.06349206349206349</v>
      </c>
      <c r="AV70" s="49">
        <f t="shared" si="16"/>
        <v>0.061538461538461535</v>
      </c>
      <c r="AW70" s="100">
        <f t="shared" si="17"/>
        <v>0.7142857142857143</v>
      </c>
      <c r="AX70" s="100">
        <f t="shared" si="44"/>
        <v>-1.7857142857142856</v>
      </c>
      <c r="AY70" s="100"/>
      <c r="AZ70" s="100">
        <f t="shared" si="45"/>
        <v>2.5</v>
      </c>
      <c r="BA70" s="79"/>
      <c r="BB70" s="79"/>
      <c r="BC70" s="107">
        <f t="shared" si="46"/>
        <v>246.39168816690557</v>
      </c>
      <c r="BD70" s="107">
        <f t="shared" si="47"/>
        <v>17.593660714285715</v>
      </c>
      <c r="BE70" s="106">
        <f t="shared" si="48"/>
        <v>86.67072942581835</v>
      </c>
      <c r="BF70" s="104">
        <f>(('[2]setup'!$B$13*'[2]setup'!$B$14*'[2]setup'!$B$15)/10^(-R70))*10^6</f>
        <v>48.416545956104166</v>
      </c>
      <c r="BG70" s="110">
        <f t="shared" si="49"/>
        <v>14.298085336054886</v>
      </c>
      <c r="BH70" s="104">
        <f t="shared" si="50"/>
        <v>228.7980274526199</v>
      </c>
      <c r="BI70" s="104">
        <f t="shared" si="51"/>
        <v>246.63659449109008</v>
      </c>
      <c r="BJ70" s="104">
        <f t="shared" si="52"/>
        <v>80.30829200644476</v>
      </c>
      <c r="BK70" s="105">
        <f t="shared" si="53"/>
        <v>50.873498670210715</v>
      </c>
      <c r="BL70" s="106"/>
      <c r="BM70" s="107">
        <f>(3*('[2]setup'!$D$19*(10^-R70)^3)+2*('[2]setup'!$D$20*'[2]setup'!$D$19*((10^-R70)^2))+('[2]setup'!$D$21*'[2]setup'!$D$19*10^-R70)+('[2]setup'!$D$19*'[2]setup'!$D$22*(AP70/(10^6*2))*(10^-R70)^3))*10^6</f>
        <v>0.00025793947115695806</v>
      </c>
      <c r="BN70" s="108">
        <f t="shared" si="54"/>
        <v>180.62664576017136</v>
      </c>
      <c r="BO70" s="104">
        <f>(BN70/((('[2]setup'!$C$26)/10^-R70)+2*(('[2]setup'!$C$26*'[2]setup'!$C$27)/(10^-R70^2))+3*(('[2]setup'!$C$26*'[2]setup'!$C$27*'[2]setup'!$C$28)/(10^-R70^3))))/(10^-R70^3/(10^-R70^3+'[2]setup'!$C$26*10^-R70^2+'[2]setup'!$C$26*'[2]setup'!$C$27*10^-R70+'[2]setup'!$C$26*'[2]setup'!$C$27*'[2]setup'!$C$28))</f>
        <v>69.98675293802691</v>
      </c>
      <c r="BQ70" s="111">
        <f t="shared" si="30"/>
        <v>246.39168816690557</v>
      </c>
      <c r="BR70" s="111">
        <f t="shared" si="31"/>
        <v>17.593660714285715</v>
      </c>
      <c r="BS70" s="111">
        <f t="shared" si="32"/>
        <v>14.004571997164879</v>
      </c>
      <c r="BT70" s="111">
        <f t="shared" si="33"/>
        <v>228.08374173833414</v>
      </c>
      <c r="BU70" s="111">
        <f t="shared" si="34"/>
        <v>14.429891304347827</v>
      </c>
    </row>
    <row r="71" spans="1:73" s="81" customFormat="1" ht="12.75">
      <c r="A71" s="83">
        <v>39938</v>
      </c>
      <c r="B71" s="2" t="s">
        <v>46</v>
      </c>
      <c r="C71" s="78">
        <v>974348</v>
      </c>
      <c r="E71" s="121">
        <v>0.006</v>
      </c>
      <c r="F71" s="77">
        <v>0.002</v>
      </c>
      <c r="G71" s="77">
        <v>0.02</v>
      </c>
      <c r="H71" s="77">
        <v>2.715</v>
      </c>
      <c r="I71" s="88">
        <v>0.01</v>
      </c>
      <c r="J71" s="98">
        <v>0.025</v>
      </c>
      <c r="K71" s="88">
        <v>0.006</v>
      </c>
      <c r="L71" s="77">
        <v>0.1</v>
      </c>
      <c r="M71" s="77">
        <v>0.7955</v>
      </c>
      <c r="N71" s="77">
        <v>0.3814</v>
      </c>
      <c r="O71" s="77">
        <v>3.542</v>
      </c>
      <c r="P71" s="98">
        <v>0.05492</v>
      </c>
      <c r="Q71" s="98">
        <v>0.4</v>
      </c>
      <c r="R71" s="77">
        <v>6.751</v>
      </c>
      <c r="S71" s="77">
        <v>18.8</v>
      </c>
      <c r="T71" s="77">
        <v>22.6</v>
      </c>
      <c r="U71" s="77">
        <v>0.05</v>
      </c>
      <c r="V71" s="77"/>
      <c r="W71" s="77">
        <v>0.002</v>
      </c>
      <c r="X71" s="77">
        <v>0.002</v>
      </c>
      <c r="Y71" s="77">
        <v>0.6201</v>
      </c>
      <c r="Z71" s="77">
        <v>0.01</v>
      </c>
      <c r="AA71" s="77">
        <v>-0.025</v>
      </c>
      <c r="AB71" s="12"/>
      <c r="AE71" s="49">
        <f t="shared" si="0"/>
        <v>0.2142857142857143</v>
      </c>
      <c r="AF71" s="49">
        <f t="shared" si="1"/>
        <v>0.07272727272727272</v>
      </c>
      <c r="AG71" s="49">
        <f t="shared" si="2"/>
        <v>2.2222222222222223</v>
      </c>
      <c r="AH71" s="49">
        <f t="shared" si="3"/>
        <v>387.85714285714283</v>
      </c>
      <c r="AI71" s="49">
        <f t="shared" si="4"/>
        <v>0.7142857142857143</v>
      </c>
      <c r="AJ71" s="49">
        <f t="shared" si="5"/>
        <v>1.7857142857142858</v>
      </c>
      <c r="AK71" s="49">
        <f t="shared" si="6"/>
        <v>0.5806451612903225</v>
      </c>
      <c r="AL71" s="49">
        <f t="shared" si="7"/>
        <v>2.5641025641025643</v>
      </c>
      <c r="AM71" s="49">
        <f t="shared" si="8"/>
        <v>39.775</v>
      </c>
      <c r="AN71" s="49">
        <f t="shared" si="9"/>
        <v>31.78333333333334</v>
      </c>
      <c r="AO71" s="49">
        <f t="shared" si="10"/>
        <v>154</v>
      </c>
      <c r="AP71" s="49">
        <f t="shared" si="11"/>
        <v>3.4324999999999997</v>
      </c>
      <c r="AQ71" s="49">
        <f t="shared" si="12"/>
        <v>11.428571428571429</v>
      </c>
      <c r="AR71" s="100">
        <f t="shared" si="43"/>
        <v>0.17741894808901643</v>
      </c>
      <c r="AS71" s="49">
        <f t="shared" si="13"/>
        <v>4.838709677419355</v>
      </c>
      <c r="AT71" s="49"/>
      <c r="AU71" s="49">
        <f t="shared" si="15"/>
        <v>0.06349206349206349</v>
      </c>
      <c r="AV71" s="49">
        <f t="shared" si="16"/>
        <v>0.061538461538461535</v>
      </c>
      <c r="AW71" s="100">
        <f t="shared" si="17"/>
        <v>0.7142857142857143</v>
      </c>
      <c r="AX71" s="100">
        <f t="shared" si="44"/>
        <v>-1.7857142857142856</v>
      </c>
      <c r="AY71" s="100"/>
      <c r="AZ71" s="100">
        <f t="shared" si="45"/>
        <v>2.5</v>
      </c>
      <c r="BA71" s="79"/>
      <c r="BB71" s="79"/>
      <c r="BC71" s="107">
        <f t="shared" si="46"/>
        <v>228.83672161172163</v>
      </c>
      <c r="BD71" s="107">
        <f t="shared" si="47"/>
        <v>16.646785714285713</v>
      </c>
      <c r="BE71" s="106">
        <f t="shared" si="48"/>
        <v>86.43755265222082</v>
      </c>
      <c r="BF71" s="104">
        <f>(('[2]setup'!$B$13*'[2]setup'!$B$14*'[2]setup'!$B$15)/10^(-R71))*10^6</f>
        <v>66.83343818422865</v>
      </c>
      <c r="BG71" s="110">
        <f t="shared" si="49"/>
        <v>6.007737794756244</v>
      </c>
      <c r="BH71" s="104">
        <f t="shared" si="50"/>
        <v>212.18993589743593</v>
      </c>
      <c r="BI71" s="104">
        <f t="shared" si="51"/>
        <v>229.01414055981064</v>
      </c>
      <c r="BJ71" s="104">
        <f t="shared" si="52"/>
        <v>89.48796169327062</v>
      </c>
      <c r="BK71" s="105">
        <f t="shared" si="53"/>
        <v>43.80698836193952</v>
      </c>
      <c r="BL71" s="106"/>
      <c r="BM71" s="107">
        <f>(3*('[2]setup'!$D$19*(10^-R71)^3)+2*('[2]setup'!$D$20*'[2]setup'!$D$19*((10^-R71)^2))+('[2]setup'!$D$21*'[2]setup'!$D$19*10^-R71)+('[2]setup'!$D$19*'[2]setup'!$D$22*(AP71/(10^6*2))*(10^-R71)^3))*10^6</f>
        <v>0.0001776176957852947</v>
      </c>
      <c r="BN71" s="108">
        <f t="shared" si="54"/>
        <v>145.53409427899206</v>
      </c>
      <c r="BO71" s="104">
        <f>(BN71/((('[2]setup'!$C$26)/10^-R71)+2*(('[2]setup'!$C$26*'[2]setup'!$C$27)/(10^-R71^2))+3*(('[2]setup'!$C$26*'[2]setup'!$C$27*'[2]setup'!$C$28)/(10^-R71^3))))/(10^-R71^3/(10^-R71^3+'[2]setup'!$C$26*10^-R71^2+'[2]setup'!$C$26*'[2]setup'!$C$27*10^-R71+'[2]setup'!$C$26*'[2]setup'!$C$27*'[2]setup'!$C$28))</f>
        <v>54.74723339491375</v>
      </c>
      <c r="BQ71" s="111">
        <f t="shared" si="30"/>
        <v>228.8367216117216</v>
      </c>
      <c r="BR71" s="111">
        <f t="shared" si="31"/>
        <v>16.646785714285713</v>
      </c>
      <c r="BS71" s="111">
        <f t="shared" si="32"/>
        <v>13.74660102792947</v>
      </c>
      <c r="BT71" s="111">
        <f t="shared" si="33"/>
        <v>211.4756501831502</v>
      </c>
      <c r="BU71" s="111">
        <f t="shared" si="34"/>
        <v>13.475</v>
      </c>
    </row>
    <row r="72" spans="1:73" s="81" customFormat="1" ht="12.75">
      <c r="A72" s="82">
        <v>39952</v>
      </c>
      <c r="B72" s="2" t="s">
        <v>46</v>
      </c>
      <c r="C72" s="78">
        <v>975887</v>
      </c>
      <c r="E72" s="121">
        <v>0.006</v>
      </c>
      <c r="F72" s="77">
        <v>0.002039</v>
      </c>
      <c r="G72" s="77">
        <v>0.02</v>
      </c>
      <c r="H72" s="77">
        <v>2.879</v>
      </c>
      <c r="I72" s="88">
        <v>0.01</v>
      </c>
      <c r="J72" s="98">
        <v>0.025</v>
      </c>
      <c r="K72" s="88">
        <v>0.005</v>
      </c>
      <c r="L72" s="77">
        <v>0.1</v>
      </c>
      <c r="M72" s="77">
        <v>0.7886</v>
      </c>
      <c r="N72" s="77">
        <v>0.3558</v>
      </c>
      <c r="O72" s="77">
        <v>3.392</v>
      </c>
      <c r="P72" s="98">
        <v>0.6736</v>
      </c>
      <c r="Q72" s="98">
        <v>2.879</v>
      </c>
      <c r="R72" s="77">
        <v>6.676</v>
      </c>
      <c r="S72" s="77">
        <v>18.8</v>
      </c>
      <c r="T72" s="77">
        <v>22.53</v>
      </c>
      <c r="U72" s="77">
        <v>0.05</v>
      </c>
      <c r="V72" s="77"/>
      <c r="W72" s="77">
        <v>0.002</v>
      </c>
      <c r="X72" s="77">
        <v>0.002</v>
      </c>
      <c r="Y72" s="77">
        <v>1.001</v>
      </c>
      <c r="Z72" s="77">
        <v>0.1336</v>
      </c>
      <c r="AA72" s="77">
        <v>0.0986</v>
      </c>
      <c r="AE72" s="49">
        <f aca="true" t="shared" si="55" ref="AE72:AE98">$E72/56*2*1000</f>
        <v>0.2142857142857143</v>
      </c>
      <c r="AF72" s="49">
        <f aca="true" t="shared" si="56" ref="AF72:AF98">$F72/55*2*1000</f>
        <v>0.07414545454545454</v>
      </c>
      <c r="AG72" s="49">
        <f aca="true" t="shared" si="57" ref="AG72:AG98">$G72/27*3*1000</f>
        <v>2.2222222222222223</v>
      </c>
      <c r="AH72" s="49">
        <f aca="true" t="shared" si="58" ref="AH72:AH98">$H72/28*4*1000</f>
        <v>411.28571428571433</v>
      </c>
      <c r="AI72" s="49">
        <f aca="true" t="shared" si="59" ref="AI72:AI98">$I72/14*1*1000</f>
        <v>0.7142857142857143</v>
      </c>
      <c r="AJ72" s="49">
        <f aca="true" t="shared" si="60" ref="AJ72:AJ98">$J72/14*1*1000</f>
        <v>1.7857142857142858</v>
      </c>
      <c r="AK72" s="49">
        <f aca="true" t="shared" si="61" ref="AK72:AK98">$K72/31*3*1000</f>
        <v>0.4838709677419355</v>
      </c>
      <c r="AL72" s="49">
        <f aca="true" t="shared" si="62" ref="AL72:AL98">$L72/39*1*1000</f>
        <v>2.5641025641025643</v>
      </c>
      <c r="AM72" s="49">
        <f aca="true" t="shared" si="63" ref="AM72:AM98">$M72/40*2*1000</f>
        <v>39.43</v>
      </c>
      <c r="AN72" s="49">
        <f aca="true" t="shared" si="64" ref="AN72:AN98">$N72/24*2*1000</f>
        <v>29.65</v>
      </c>
      <c r="AO72" s="49">
        <f aca="true" t="shared" si="65" ref="AO72:AO98">$O72/23*1*1000</f>
        <v>147.47826086956522</v>
      </c>
      <c r="AP72" s="49">
        <f aca="true" t="shared" si="66" ref="AP72:AP98">$P72/32*2*1000</f>
        <v>42.1</v>
      </c>
      <c r="AQ72" s="49">
        <f aca="true" t="shared" si="67" ref="AQ72:AQ98">$Q72/35*1*1000</f>
        <v>82.25714285714287</v>
      </c>
      <c r="AR72" s="100">
        <f t="shared" si="43"/>
        <v>0.21086281499332885</v>
      </c>
      <c r="AS72" s="49">
        <f aca="true" t="shared" si="68" ref="AS72:AS98">$U72/31*3*1000</f>
        <v>4.838709677419355</v>
      </c>
      <c r="AT72" s="49"/>
      <c r="AU72" s="49">
        <f aca="true" t="shared" si="69" ref="AU72:AU98">$W72/63*2*1000</f>
        <v>0.06349206349206349</v>
      </c>
      <c r="AV72" s="49">
        <f aca="true" t="shared" si="70" ref="AV72:AV98">$X72/65*2*1000</f>
        <v>0.061538461538461535</v>
      </c>
      <c r="AW72" s="100">
        <f aca="true" t="shared" si="71" ref="AW72:AW98">$Z72/14*1*1000</f>
        <v>9.542857142857143</v>
      </c>
      <c r="AX72" s="100">
        <f t="shared" si="44"/>
        <v>7.042857142857143</v>
      </c>
      <c r="AY72" s="100"/>
      <c r="AZ72" s="100">
        <f t="shared" si="45"/>
        <v>2.5</v>
      </c>
      <c r="BA72" s="79"/>
      <c r="BB72" s="79"/>
      <c r="BC72" s="107">
        <f t="shared" si="46"/>
        <v>219.8366491479535</v>
      </c>
      <c r="BD72" s="107">
        <f t="shared" si="47"/>
        <v>126.14285714285715</v>
      </c>
      <c r="BE72" s="106">
        <f t="shared" si="48"/>
        <v>27.080734639335162</v>
      </c>
      <c r="BF72" s="104">
        <f>(('[2]setup'!$B$13*'[2]setup'!$B$14*'[2]setup'!$B$15)/10^(-R72))*10^6</f>
        <v>56.2333301876545</v>
      </c>
      <c r="BG72" s="110">
        <f t="shared" si="49"/>
        <v>9.663776291564073</v>
      </c>
      <c r="BH72" s="104">
        <f t="shared" si="50"/>
        <v>93.69379200509637</v>
      </c>
      <c r="BI72" s="104">
        <f t="shared" si="51"/>
        <v>220.04751196294686</v>
      </c>
      <c r="BJ72" s="104">
        <f t="shared" si="52"/>
        <v>192.03996362207573</v>
      </c>
      <c r="BK72" s="105">
        <f t="shared" si="53"/>
        <v>6.7965055965629695</v>
      </c>
      <c r="BL72" s="106"/>
      <c r="BM72" s="107">
        <f>(3*('[2]setup'!$D$19*(10^-R72)^3)+2*('[2]setup'!$D$20*'[2]setup'!$D$19*((10^-R72)^2))+('[2]setup'!$D$21*'[2]setup'!$D$19*10^-R72)+('[2]setup'!$D$19*'[2]setup'!$D$22*(AP72/(10^6*2))*(10^-R72)^3))*10^6</f>
        <v>0.00021648559972530955</v>
      </c>
      <c r="BN72" s="108">
        <f t="shared" si="54"/>
        <v>37.67154111803495</v>
      </c>
      <c r="BO72" s="104">
        <f>(BN72/((('[2]setup'!$C$26)/10^-R72)+2*(('[2]setup'!$C$26*'[2]setup'!$C$27)/(10^-R72^2))+3*(('[2]setup'!$C$26*'[2]setup'!$C$27*'[2]setup'!$C$28)/(10^-R72^3))))/(10^-R72^3/(10^-R72^3+'[2]setup'!$C$26*10^-R72^2+'[2]setup'!$C$26*'[2]setup'!$C$27*10^-R72+'[2]setup'!$C$26*'[2]setup'!$C$27*'[2]setup'!$C$28))</f>
        <v>14.391289522362095</v>
      </c>
      <c r="BQ72" s="111">
        <f t="shared" si="30"/>
        <v>219.8366491479535</v>
      </c>
      <c r="BR72" s="111">
        <f t="shared" si="31"/>
        <v>126.14285714285715</v>
      </c>
      <c r="BS72" s="111">
        <f t="shared" si="32"/>
        <v>1.7427593930188838</v>
      </c>
      <c r="BT72" s="111">
        <f t="shared" si="33"/>
        <v>92.97950629081062</v>
      </c>
      <c r="BU72" s="111">
        <f t="shared" si="34"/>
        <v>1.7928930637147558</v>
      </c>
    </row>
    <row r="73" spans="1:73" s="81" customFormat="1" ht="12.75">
      <c r="A73" s="83">
        <v>39966</v>
      </c>
      <c r="B73" s="2" t="s">
        <v>46</v>
      </c>
      <c r="C73" s="78">
        <v>977343</v>
      </c>
      <c r="E73" s="121">
        <v>0.006</v>
      </c>
      <c r="F73" s="77">
        <v>0.002914</v>
      </c>
      <c r="G73" s="77">
        <v>0.02</v>
      </c>
      <c r="H73" s="77">
        <v>2.921</v>
      </c>
      <c r="I73" s="77">
        <v>0.01</v>
      </c>
      <c r="J73" s="98">
        <v>0.025</v>
      </c>
      <c r="K73" s="77">
        <v>0.006</v>
      </c>
      <c r="L73" s="77">
        <v>0.1</v>
      </c>
      <c r="M73" s="77">
        <v>0.8134</v>
      </c>
      <c r="N73" s="77">
        <v>0.3501</v>
      </c>
      <c r="O73" s="77">
        <v>3.13</v>
      </c>
      <c r="P73" s="98">
        <v>0.6828</v>
      </c>
      <c r="Q73" s="98">
        <v>2.705</v>
      </c>
      <c r="R73" s="77">
        <v>6.774</v>
      </c>
      <c r="S73" s="77">
        <v>18.9</v>
      </c>
      <c r="T73" s="77">
        <v>22.73</v>
      </c>
      <c r="U73" s="77">
        <v>0.05</v>
      </c>
      <c r="V73" s="77"/>
      <c r="W73" s="77">
        <v>0.002</v>
      </c>
      <c r="X73" s="77">
        <v>0.002</v>
      </c>
      <c r="Y73" s="77">
        <v>0.5312</v>
      </c>
      <c r="Z73" s="77">
        <v>0.1226</v>
      </c>
      <c r="AA73" s="77">
        <v>0.0876</v>
      </c>
      <c r="AE73" s="49">
        <f t="shared" si="55"/>
        <v>0.2142857142857143</v>
      </c>
      <c r="AF73" s="49">
        <f t="shared" si="56"/>
        <v>0.10596363636363636</v>
      </c>
      <c r="AG73" s="49">
        <f t="shared" si="57"/>
        <v>2.2222222222222223</v>
      </c>
      <c r="AH73" s="49">
        <f t="shared" si="58"/>
        <v>417.2857142857143</v>
      </c>
      <c r="AI73" s="49">
        <f t="shared" si="59"/>
        <v>0.7142857142857143</v>
      </c>
      <c r="AJ73" s="49">
        <f t="shared" si="60"/>
        <v>1.7857142857142858</v>
      </c>
      <c r="AK73" s="49">
        <f t="shared" si="61"/>
        <v>0.5806451612903225</v>
      </c>
      <c r="AL73" s="49">
        <f t="shared" si="62"/>
        <v>2.5641025641025643</v>
      </c>
      <c r="AM73" s="49">
        <f t="shared" si="63"/>
        <v>40.669999999999995</v>
      </c>
      <c r="AN73" s="49">
        <f t="shared" si="64"/>
        <v>29.175000000000004</v>
      </c>
      <c r="AO73" s="49">
        <f t="shared" si="65"/>
        <v>136.08695652173913</v>
      </c>
      <c r="AP73" s="49">
        <f t="shared" si="66"/>
        <v>42.675</v>
      </c>
      <c r="AQ73" s="49">
        <f t="shared" si="67"/>
        <v>77.28571428571429</v>
      </c>
      <c r="AR73" s="100">
        <f t="shared" si="43"/>
        <v>0.16826740610704674</v>
      </c>
      <c r="AS73" s="49">
        <f t="shared" si="68"/>
        <v>4.838709677419355</v>
      </c>
      <c r="AT73" s="49"/>
      <c r="AU73" s="49">
        <f t="shared" si="69"/>
        <v>0.06349206349206349</v>
      </c>
      <c r="AV73" s="49">
        <f t="shared" si="70"/>
        <v>0.061538461538461535</v>
      </c>
      <c r="AW73" s="100">
        <f t="shared" si="71"/>
        <v>8.757142857142858</v>
      </c>
      <c r="AX73" s="100">
        <f t="shared" si="44"/>
        <v>6.257142857142858</v>
      </c>
      <c r="AY73" s="100"/>
      <c r="AZ73" s="100">
        <f t="shared" si="45"/>
        <v>2.5</v>
      </c>
      <c r="BA73" s="79"/>
      <c r="BB73" s="79"/>
      <c r="BC73" s="107">
        <f t="shared" si="46"/>
        <v>209.21034480012742</v>
      </c>
      <c r="BD73" s="107">
        <f t="shared" si="47"/>
        <v>121.74642857142857</v>
      </c>
      <c r="BE73" s="106">
        <f t="shared" si="48"/>
        <v>26.42759516225569</v>
      </c>
      <c r="BF73" s="104">
        <f>(('[2]setup'!$B$13*'[2]setup'!$B$14*'[2]setup'!$B$15)/10^(-R73))*10^6</f>
        <v>70.4683014622259</v>
      </c>
      <c r="BG73" s="110">
        <f t="shared" si="49"/>
        <v>5.151692454487727</v>
      </c>
      <c r="BH73" s="104">
        <f t="shared" si="50"/>
        <v>87.46391622869884</v>
      </c>
      <c r="BI73" s="104">
        <f t="shared" si="51"/>
        <v>209.37861220623446</v>
      </c>
      <c r="BJ73" s="104">
        <f t="shared" si="52"/>
        <v>197.3664224881422</v>
      </c>
      <c r="BK73" s="105">
        <f t="shared" si="53"/>
        <v>2.953248028489905</v>
      </c>
      <c r="BL73" s="106"/>
      <c r="BM73" s="107">
        <f>(3*('[2]setup'!$D$19*(10^-R73)^3)+2*('[2]setup'!$D$20*'[2]setup'!$D$19*((10^-R73)^2))+('[2]setup'!$D$21*'[2]setup'!$D$19*10^-R73)+('[2]setup'!$D$19*'[2]setup'!$D$22*(AP73/(10^6*2))*(10^-R73)^3))*10^6</f>
        <v>0.00016731041745772856</v>
      </c>
      <c r="BN73" s="108">
        <f t="shared" si="54"/>
        <v>17.164049482997456</v>
      </c>
      <c r="BO73" s="104">
        <f>(BN73/((('[2]setup'!$C$26)/10^-R73)+2*(('[2]setup'!$C$26*'[2]setup'!$C$27)/(10^-R73^2))+3*(('[2]setup'!$C$26*'[2]setup'!$C$27*'[2]setup'!$C$28)/(10^-R73^3))))/(10^-R73^3/(10^-R73^3+'[2]setup'!$C$26*10^-R73^2+'[2]setup'!$C$26*'[2]setup'!$C$27*10^-R73+'[2]setup'!$C$26*'[2]setup'!$C$27*'[2]setup'!$C$28))</f>
        <v>6.427766877802834</v>
      </c>
      <c r="BQ73" s="111">
        <f aca="true" t="shared" si="72" ref="BQ73:BQ98">AI73+AL73+AM73+AN73+AO73</f>
        <v>209.21034480012742</v>
      </c>
      <c r="BR73" s="111">
        <f aca="true" t="shared" si="73" ref="BR73:BR98">AJ73+AP73+AQ73</f>
        <v>121.74642857142857</v>
      </c>
      <c r="BS73" s="111">
        <f aca="true" t="shared" si="74" ref="BS73:BS98">BQ73/BR73</f>
        <v>1.718410529614705</v>
      </c>
      <c r="BT73" s="111">
        <f aca="true" t="shared" si="75" ref="BT73:BT98">(AL73+AM73+AN73+AO73)-(AJ73+AP73+AQ73)</f>
        <v>86.74963051441313</v>
      </c>
      <c r="BU73" s="111">
        <f aca="true" t="shared" si="76" ref="BU73:BU98">AO73/AQ73</f>
        <v>1.760829381981837</v>
      </c>
    </row>
    <row r="74" spans="1:73" s="81" customFormat="1" ht="12.75">
      <c r="A74" s="82">
        <v>40050</v>
      </c>
      <c r="B74" s="2" t="s">
        <v>46</v>
      </c>
      <c r="C74" s="78">
        <v>990718</v>
      </c>
      <c r="E74" s="121">
        <v>0.006</v>
      </c>
      <c r="F74" s="77">
        <v>0.002829</v>
      </c>
      <c r="G74" s="77">
        <v>0.02</v>
      </c>
      <c r="H74" s="77">
        <v>2.541</v>
      </c>
      <c r="I74" s="77">
        <v>0.01058</v>
      </c>
      <c r="J74" s="98">
        <v>0.02573</v>
      </c>
      <c r="K74" s="77">
        <v>0.005</v>
      </c>
      <c r="L74" s="77">
        <v>0.1</v>
      </c>
      <c r="M74" s="77">
        <v>0.6965</v>
      </c>
      <c r="N74" s="77">
        <v>0.3235</v>
      </c>
      <c r="O74" s="77">
        <v>2.928</v>
      </c>
      <c r="P74" s="98">
        <v>0.6166</v>
      </c>
      <c r="Q74" s="98">
        <v>2.775</v>
      </c>
      <c r="R74" s="77">
        <v>6.705</v>
      </c>
      <c r="S74" s="77">
        <v>17.1</v>
      </c>
      <c r="T74" s="77">
        <v>21.96</v>
      </c>
      <c r="U74" s="77">
        <v>0.05</v>
      </c>
      <c r="V74" s="77"/>
      <c r="W74" s="77">
        <v>0.002</v>
      </c>
      <c r="X74" s="77">
        <v>0.002</v>
      </c>
      <c r="Y74" s="77">
        <v>1.058</v>
      </c>
      <c r="Z74" s="77">
        <v>0.01</v>
      </c>
      <c r="AA74" s="77">
        <v>-0.02631</v>
      </c>
      <c r="AE74" s="49">
        <f t="shared" si="55"/>
        <v>0.2142857142857143</v>
      </c>
      <c r="AF74" s="49">
        <f t="shared" si="56"/>
        <v>0.10287272727272727</v>
      </c>
      <c r="AG74" s="49">
        <f t="shared" si="57"/>
        <v>2.2222222222222223</v>
      </c>
      <c r="AH74" s="49">
        <f t="shared" si="58"/>
        <v>363</v>
      </c>
      <c r="AI74" s="49">
        <f t="shared" si="59"/>
        <v>0.7557142857142858</v>
      </c>
      <c r="AJ74" s="49">
        <f t="shared" si="60"/>
        <v>1.8378571428571429</v>
      </c>
      <c r="AK74" s="49">
        <f t="shared" si="61"/>
        <v>0.4838709677419355</v>
      </c>
      <c r="AL74" s="49">
        <f t="shared" si="62"/>
        <v>2.5641025641025643</v>
      </c>
      <c r="AM74" s="49">
        <f t="shared" si="63"/>
        <v>34.825</v>
      </c>
      <c r="AN74" s="49">
        <f t="shared" si="64"/>
        <v>26.958333333333336</v>
      </c>
      <c r="AO74" s="49">
        <f t="shared" si="65"/>
        <v>127.30434782608697</v>
      </c>
      <c r="AP74" s="49">
        <f t="shared" si="66"/>
        <v>38.5375</v>
      </c>
      <c r="AQ74" s="49">
        <f t="shared" si="67"/>
        <v>79.28571428571428</v>
      </c>
      <c r="AR74" s="100">
        <f t="shared" si="43"/>
        <v>0.1972422736114853</v>
      </c>
      <c r="AS74" s="49">
        <f t="shared" si="68"/>
        <v>4.838709677419355</v>
      </c>
      <c r="AT74" s="49"/>
      <c r="AU74" s="49">
        <f t="shared" si="69"/>
        <v>0.06349206349206349</v>
      </c>
      <c r="AV74" s="49">
        <f t="shared" si="70"/>
        <v>0.061538461538461535</v>
      </c>
      <c r="AW74" s="100">
        <f t="shared" si="71"/>
        <v>0.7142857142857143</v>
      </c>
      <c r="AX74" s="100">
        <f t="shared" si="44"/>
        <v>-1.8792857142857144</v>
      </c>
      <c r="AY74" s="100"/>
      <c r="AZ74" s="100">
        <f t="shared" si="45"/>
        <v>2.593571428571429</v>
      </c>
      <c r="BA74" s="79"/>
      <c r="BB74" s="79"/>
      <c r="BC74" s="107">
        <f t="shared" si="46"/>
        <v>192.40749800923714</v>
      </c>
      <c r="BD74" s="107">
        <f t="shared" si="47"/>
        <v>119.66107142857143</v>
      </c>
      <c r="BE74" s="106">
        <f t="shared" si="48"/>
        <v>23.311039209016908</v>
      </c>
      <c r="BF74" s="104">
        <f>(('[2]setup'!$B$13*'[2]setup'!$B$14*'[2]setup'!$B$15)/10^(-R74))*10^6</f>
        <v>60.11651601205077</v>
      </c>
      <c r="BG74" s="110">
        <f t="shared" si="49"/>
        <v>10.228450978797936</v>
      </c>
      <c r="BH74" s="104">
        <f t="shared" si="50"/>
        <v>72.74642658066573</v>
      </c>
      <c r="BI74" s="104">
        <f t="shared" si="51"/>
        <v>192.60474028284864</v>
      </c>
      <c r="BJ74" s="104">
        <f t="shared" si="52"/>
        <v>190.00603841942012</v>
      </c>
      <c r="BK74" s="105">
        <f t="shared" si="53"/>
        <v>0.679202471044527</v>
      </c>
      <c r="BL74" s="106"/>
      <c r="BM74" s="107">
        <f>(3*('[2]setup'!$D$19*(10^-R74)^3)+2*('[2]setup'!$D$20*'[2]setup'!$D$19*((10^-R74)^2))+('[2]setup'!$D$21*'[2]setup'!$D$19*10^-R74)+('[2]setup'!$D$19*'[2]setup'!$D$22*(AP74/(10^6*2))*(10^-R74)^3))*10^6</f>
        <v>0.0002004366521048228</v>
      </c>
      <c r="BN74" s="108">
        <f t="shared" si="54"/>
        <v>12.827353278878547</v>
      </c>
      <c r="BO74" s="104">
        <f>(BN74/((('[2]setup'!$C$26)/10^-R74)+2*(('[2]setup'!$C$26*'[2]setup'!$C$27)/(10^-R74^2))+3*(('[2]setup'!$C$26*'[2]setup'!$C$27*'[2]setup'!$C$28)/(10^-R74^3))))/(10^-R74^3/(10^-R74^3+'[2]setup'!$C$26*10^-R74^2+'[2]setup'!$C$26*'[2]setup'!$C$27*10^-R74+'[2]setup'!$C$26*'[2]setup'!$C$27*'[2]setup'!$C$28))</f>
        <v>4.870604808622518</v>
      </c>
      <c r="BQ74" s="111">
        <f t="shared" si="72"/>
        <v>192.40749800923714</v>
      </c>
      <c r="BR74" s="111">
        <f t="shared" si="73"/>
        <v>119.66107142857143</v>
      </c>
      <c r="BS74" s="111">
        <f t="shared" si="74"/>
        <v>1.60793728246107</v>
      </c>
      <c r="BT74" s="111">
        <f t="shared" si="75"/>
        <v>71.99071229495144</v>
      </c>
      <c r="BU74" s="111">
        <f t="shared" si="76"/>
        <v>1.6056404230317276</v>
      </c>
    </row>
    <row r="75" spans="1:73" s="81" customFormat="1" ht="12.75">
      <c r="A75" s="82">
        <v>40064</v>
      </c>
      <c r="B75" s="2" t="s">
        <v>46</v>
      </c>
      <c r="C75" s="78">
        <v>992642</v>
      </c>
      <c r="E75" s="121">
        <v>0.006</v>
      </c>
      <c r="F75" s="77">
        <v>0.002818</v>
      </c>
      <c r="G75" s="77">
        <v>0.03011</v>
      </c>
      <c r="H75" s="77">
        <v>1.994</v>
      </c>
      <c r="I75" s="77">
        <v>0.015</v>
      </c>
      <c r="J75" s="98">
        <v>0.025</v>
      </c>
      <c r="K75" s="77">
        <v>0.005</v>
      </c>
      <c r="L75" s="77">
        <v>0.2192</v>
      </c>
      <c r="M75" s="77">
        <v>0.3734</v>
      </c>
      <c r="N75" s="77">
        <v>0.2275</v>
      </c>
      <c r="O75" s="77">
        <v>2.847</v>
      </c>
      <c r="P75" s="98">
        <v>0.5949</v>
      </c>
      <c r="Q75" s="98">
        <v>2.93</v>
      </c>
      <c r="R75" s="77">
        <v>6.164</v>
      </c>
      <c r="S75" s="77">
        <v>13.2</v>
      </c>
      <c r="T75" s="77">
        <v>19.32</v>
      </c>
      <c r="U75" s="77">
        <v>0.05</v>
      </c>
      <c r="V75" s="77"/>
      <c r="W75" s="77">
        <v>0.002</v>
      </c>
      <c r="X75" s="77">
        <v>0.002</v>
      </c>
      <c r="Y75" s="77">
        <v>1.375</v>
      </c>
      <c r="Z75" s="77">
        <v>0.01</v>
      </c>
      <c r="AA75" s="77">
        <v>-0.03</v>
      </c>
      <c r="AE75" s="49">
        <f t="shared" si="55"/>
        <v>0.2142857142857143</v>
      </c>
      <c r="AF75" s="49">
        <f t="shared" si="56"/>
        <v>0.10247272727272727</v>
      </c>
      <c r="AG75" s="49">
        <f t="shared" si="57"/>
        <v>3.3455555555555554</v>
      </c>
      <c r="AH75" s="49">
        <f t="shared" si="58"/>
        <v>284.8571428571429</v>
      </c>
      <c r="AI75" s="49">
        <f t="shared" si="59"/>
        <v>1.0714285714285714</v>
      </c>
      <c r="AJ75" s="49">
        <f t="shared" si="60"/>
        <v>1.7857142857142858</v>
      </c>
      <c r="AK75" s="49">
        <f t="shared" si="61"/>
        <v>0.4838709677419355</v>
      </c>
      <c r="AL75" s="49">
        <f t="shared" si="62"/>
        <v>5.62051282051282</v>
      </c>
      <c r="AM75" s="49">
        <f t="shared" si="63"/>
        <v>18.669999999999998</v>
      </c>
      <c r="AN75" s="49">
        <f t="shared" si="64"/>
        <v>18.958333333333336</v>
      </c>
      <c r="AO75" s="49">
        <f t="shared" si="65"/>
        <v>123.78260869565217</v>
      </c>
      <c r="AP75" s="49">
        <f t="shared" si="66"/>
        <v>37.18125</v>
      </c>
      <c r="AQ75" s="49">
        <f t="shared" si="67"/>
        <v>83.71428571428571</v>
      </c>
      <c r="AR75" s="100">
        <f t="shared" si="43"/>
        <v>0.685488226452662</v>
      </c>
      <c r="AS75" s="49">
        <f t="shared" si="68"/>
        <v>4.838709677419355</v>
      </c>
      <c r="AT75" s="49"/>
      <c r="AU75" s="49">
        <f t="shared" si="69"/>
        <v>0.06349206349206349</v>
      </c>
      <c r="AV75" s="49">
        <f t="shared" si="70"/>
        <v>0.061538461538461535</v>
      </c>
      <c r="AW75" s="100">
        <f t="shared" si="71"/>
        <v>0.7142857142857143</v>
      </c>
      <c r="AX75" s="100">
        <f t="shared" si="44"/>
        <v>-2.142857142857143</v>
      </c>
      <c r="AY75" s="100"/>
      <c r="AZ75" s="100">
        <f t="shared" si="45"/>
        <v>2.857142857142857</v>
      </c>
      <c r="BA75" s="79"/>
      <c r="BB75" s="79"/>
      <c r="BC75" s="107">
        <f t="shared" si="46"/>
        <v>168.1028834209269</v>
      </c>
      <c r="BD75" s="107">
        <f t="shared" si="47"/>
        <v>122.68124999999999</v>
      </c>
      <c r="BE75" s="106">
        <f t="shared" si="48"/>
        <v>15.620396094712795</v>
      </c>
      <c r="BF75" s="104">
        <f>(('[2]setup'!$B$13*'[2]setup'!$B$14*'[2]setup'!$B$15)/10^(-R75))*10^6</f>
        <v>17.297916787250617</v>
      </c>
      <c r="BG75" s="110">
        <f t="shared" si="49"/>
        <v>12.817592984172645</v>
      </c>
      <c r="BH75" s="104">
        <f t="shared" si="50"/>
        <v>45.42163342092694</v>
      </c>
      <c r="BI75" s="104">
        <f t="shared" si="51"/>
        <v>168.7883716473796</v>
      </c>
      <c r="BJ75" s="104">
        <f t="shared" si="52"/>
        <v>152.79675977142324</v>
      </c>
      <c r="BK75" s="105">
        <f t="shared" si="53"/>
        <v>4.972746036299282</v>
      </c>
      <c r="BL75" s="106"/>
      <c r="BM75" s="107">
        <f>(3*('[2]setup'!$D$19*(10^-R75)^3)+2*('[2]setup'!$D$20*'[2]setup'!$D$19*((10^-R75)^2))+('[2]setup'!$D$21*'[2]setup'!$D$19*10^-R75)+('[2]setup'!$D$19*'[2]setup'!$D$22*(AP75/(10^6*2))*(10^-R75)^3))*10^6</f>
        <v>0.001001600562770972</v>
      </c>
      <c r="BN75" s="108">
        <f t="shared" si="54"/>
        <v>28.810206460691745</v>
      </c>
      <c r="BO75" s="104">
        <f>(BN75/((('[2]setup'!$C$26)/10^-R75)+2*(('[2]setup'!$C$26*'[2]setup'!$C$27)/(10^-R75^2))+3*(('[2]setup'!$C$26*'[2]setup'!$C$27*'[2]setup'!$C$28)/(10^-R75^3))))/(10^-R75^3/(10^-R75^3+'[2]setup'!$C$26*10^-R75^2+'[2]setup'!$C$26*'[2]setup'!$C$27*10^-R75+'[2]setup'!$C$26*'[2]setup'!$C$27*'[2]setup'!$C$28))</f>
        <v>12.436990298151605</v>
      </c>
      <c r="BQ75" s="111">
        <f t="shared" si="72"/>
        <v>168.1028834209269</v>
      </c>
      <c r="BR75" s="111">
        <f t="shared" si="73"/>
        <v>122.68124999999999</v>
      </c>
      <c r="BS75" s="111">
        <f t="shared" si="74"/>
        <v>1.3702410386340775</v>
      </c>
      <c r="BT75" s="111">
        <f t="shared" si="75"/>
        <v>44.350204849498326</v>
      </c>
      <c r="BU75" s="111">
        <f t="shared" si="76"/>
        <v>1.4786318444873128</v>
      </c>
    </row>
    <row r="76" spans="1:73" s="81" customFormat="1" ht="12.75">
      <c r="A76" s="82">
        <v>40078</v>
      </c>
      <c r="B76" s="2" t="s">
        <v>46</v>
      </c>
      <c r="C76" s="78">
        <v>994161</v>
      </c>
      <c r="E76" s="121">
        <v>0.006</v>
      </c>
      <c r="F76" s="77">
        <v>0.002006</v>
      </c>
      <c r="G76" s="77">
        <v>0.02</v>
      </c>
      <c r="H76" s="77">
        <v>2.027</v>
      </c>
      <c r="I76" s="77">
        <v>0.016</v>
      </c>
      <c r="J76" s="98">
        <v>0.025</v>
      </c>
      <c r="K76" s="77">
        <v>0.005</v>
      </c>
      <c r="L76" s="77">
        <v>0.2701</v>
      </c>
      <c r="M76" s="77">
        <v>0.7223</v>
      </c>
      <c r="N76" s="77">
        <v>0.3635</v>
      </c>
      <c r="O76" s="77">
        <v>3.422</v>
      </c>
      <c r="P76" s="98">
        <v>0.6771</v>
      </c>
      <c r="Q76" s="98">
        <v>3.041</v>
      </c>
      <c r="R76" s="77">
        <v>6.776</v>
      </c>
      <c r="S76" s="77">
        <v>18.4</v>
      </c>
      <c r="T76" s="77">
        <v>23.98</v>
      </c>
      <c r="U76" s="77">
        <v>0.05</v>
      </c>
      <c r="V76" s="77"/>
      <c r="W76" s="77">
        <v>0.002</v>
      </c>
      <c r="X76" s="77">
        <v>0.002</v>
      </c>
      <c r="Y76" s="77">
        <v>0.9289</v>
      </c>
      <c r="Z76" s="77">
        <v>0.1345</v>
      </c>
      <c r="AA76" s="77">
        <v>0.0935</v>
      </c>
      <c r="AE76" s="49">
        <f t="shared" si="55"/>
        <v>0.2142857142857143</v>
      </c>
      <c r="AF76" s="49">
        <f t="shared" si="56"/>
        <v>0.07294545454545454</v>
      </c>
      <c r="AG76" s="49">
        <f t="shared" si="57"/>
        <v>2.2222222222222223</v>
      </c>
      <c r="AH76" s="49">
        <f t="shared" si="58"/>
        <v>289.5714285714286</v>
      </c>
      <c r="AI76" s="49">
        <f t="shared" si="59"/>
        <v>1.142857142857143</v>
      </c>
      <c r="AJ76" s="49">
        <f t="shared" si="60"/>
        <v>1.7857142857142858</v>
      </c>
      <c r="AK76" s="49">
        <f t="shared" si="61"/>
        <v>0.4838709677419355</v>
      </c>
      <c r="AL76" s="49">
        <f t="shared" si="62"/>
        <v>6.925641025641026</v>
      </c>
      <c r="AM76" s="49">
        <f t="shared" si="63"/>
        <v>36.115</v>
      </c>
      <c r="AN76" s="49">
        <f t="shared" si="64"/>
        <v>30.291666666666664</v>
      </c>
      <c r="AO76" s="49">
        <f t="shared" si="65"/>
        <v>148.7826086956522</v>
      </c>
      <c r="AP76" s="49">
        <f t="shared" si="66"/>
        <v>42.31875</v>
      </c>
      <c r="AQ76" s="49">
        <f t="shared" si="67"/>
        <v>86.88571428571429</v>
      </c>
      <c r="AR76" s="100">
        <f t="shared" si="43"/>
        <v>0.1674942876026438</v>
      </c>
      <c r="AS76" s="49">
        <f t="shared" si="68"/>
        <v>4.838709677419355</v>
      </c>
      <c r="AT76" s="49"/>
      <c r="AU76" s="49">
        <f t="shared" si="69"/>
        <v>0.06349206349206349</v>
      </c>
      <c r="AV76" s="49">
        <f t="shared" si="70"/>
        <v>0.061538461538461535</v>
      </c>
      <c r="AW76" s="100">
        <f t="shared" si="71"/>
        <v>9.607142857142858</v>
      </c>
      <c r="AX76" s="100">
        <f t="shared" si="44"/>
        <v>6.678571428571429</v>
      </c>
      <c r="AY76" s="100"/>
      <c r="AZ76" s="100">
        <f t="shared" si="45"/>
        <v>2.928571428571429</v>
      </c>
      <c r="BA76" s="79"/>
      <c r="BB76" s="79"/>
      <c r="BC76" s="107">
        <f t="shared" si="46"/>
        <v>223.25777353081702</v>
      </c>
      <c r="BD76" s="107">
        <f t="shared" si="47"/>
        <v>130.99017857142857</v>
      </c>
      <c r="BE76" s="106">
        <f t="shared" si="48"/>
        <v>26.04604893601686</v>
      </c>
      <c r="BF76" s="104">
        <f>(('[2]setup'!$B$13*'[2]setup'!$B$14*'[2]setup'!$B$15)/10^(-R76))*10^6</f>
        <v>70.79356836305024</v>
      </c>
      <c r="BG76" s="110">
        <f t="shared" si="49"/>
        <v>9.00945879097699</v>
      </c>
      <c r="BH76" s="104">
        <f t="shared" si="50"/>
        <v>92.26759495938845</v>
      </c>
      <c r="BI76" s="104">
        <f t="shared" si="51"/>
        <v>223.42526781841966</v>
      </c>
      <c r="BJ76" s="104">
        <f t="shared" si="52"/>
        <v>210.7932057254558</v>
      </c>
      <c r="BK76" s="105">
        <f t="shared" si="53"/>
        <v>2.9091489336847496</v>
      </c>
      <c r="BL76" s="106"/>
      <c r="BM76" s="107">
        <f>(3*('[2]setup'!$D$19*(10^-R76)^3)+2*('[2]setup'!$D$20*'[2]setup'!$D$19*((10^-R76)^2))+('[2]setup'!$D$21*'[2]setup'!$D$19*10^-R76)+('[2]setup'!$D$19*'[2]setup'!$D$22*(AP76/(10^6*2))*(10^-R76)^3))*10^6</f>
        <v>0.0001664449628375139</v>
      </c>
      <c r="BN76" s="108">
        <f t="shared" si="54"/>
        <v>21.641687328903686</v>
      </c>
      <c r="BO76" s="104">
        <f>(BN76/((('[2]setup'!$C$26)/10^-R76)+2*(('[2]setup'!$C$26*'[2]setup'!$C$27)/(10^-R76^2))+3*(('[2]setup'!$C$26*'[2]setup'!$C$27*'[2]setup'!$C$28)/(10^-R76^3))))/(10^-R76^3/(10^-R76^3+'[2]setup'!$C$26*10^-R76^2+'[2]setup'!$C$26*'[2]setup'!$C$27*10^-R76+'[2]setup'!$C$26*'[2]setup'!$C$27*'[2]setup'!$C$28))</f>
        <v>8.101463265188825</v>
      </c>
      <c r="BQ76" s="111">
        <f t="shared" si="72"/>
        <v>223.25777353081702</v>
      </c>
      <c r="BR76" s="111">
        <f t="shared" si="73"/>
        <v>130.99017857142857</v>
      </c>
      <c r="BS76" s="111">
        <f t="shared" si="74"/>
        <v>1.704385595665672</v>
      </c>
      <c r="BT76" s="111">
        <f t="shared" si="75"/>
        <v>91.12473781653131</v>
      </c>
      <c r="BU76" s="111">
        <f t="shared" si="76"/>
        <v>1.7123943782794562</v>
      </c>
    </row>
    <row r="77" spans="1:73" s="81" customFormat="1" ht="12.75">
      <c r="A77" s="82">
        <v>40091</v>
      </c>
      <c r="B77" s="2" t="s">
        <v>46</v>
      </c>
      <c r="C77" s="78">
        <v>994602</v>
      </c>
      <c r="E77" s="121">
        <v>0.006</v>
      </c>
      <c r="F77" s="77">
        <v>0.002</v>
      </c>
      <c r="G77" s="77">
        <v>0.03236</v>
      </c>
      <c r="H77" s="77">
        <v>2.007</v>
      </c>
      <c r="I77" s="77">
        <v>0.01</v>
      </c>
      <c r="J77" s="98">
        <v>0.025</v>
      </c>
      <c r="K77" s="77">
        <v>0.005</v>
      </c>
      <c r="L77" s="77">
        <v>0.2805</v>
      </c>
      <c r="M77" s="77">
        <v>0.7355</v>
      </c>
      <c r="N77" s="77">
        <v>0.3619</v>
      </c>
      <c r="O77" s="77">
        <v>3.247</v>
      </c>
      <c r="P77" s="98">
        <v>0.6375</v>
      </c>
      <c r="Q77" s="98">
        <v>2.492</v>
      </c>
      <c r="R77" s="77">
        <v>6.608</v>
      </c>
      <c r="S77" s="77">
        <v>13.9</v>
      </c>
      <c r="T77" s="77">
        <v>23.54</v>
      </c>
      <c r="U77" s="77">
        <v>0.05</v>
      </c>
      <c r="V77" s="77"/>
      <c r="W77" s="77">
        <v>0.002</v>
      </c>
      <c r="X77" s="77">
        <v>0.002</v>
      </c>
      <c r="Y77" s="77">
        <v>1.55</v>
      </c>
      <c r="Z77" s="77">
        <v>0.01</v>
      </c>
      <c r="AA77" s="77">
        <v>-0.025</v>
      </c>
      <c r="AE77" s="49">
        <f t="shared" si="55"/>
        <v>0.2142857142857143</v>
      </c>
      <c r="AF77" s="49">
        <f t="shared" si="56"/>
        <v>0.07272727272727272</v>
      </c>
      <c r="AG77" s="49">
        <f t="shared" si="57"/>
        <v>3.5955555555555554</v>
      </c>
      <c r="AH77" s="49">
        <f t="shared" si="58"/>
        <v>286.7142857142858</v>
      </c>
      <c r="AI77" s="49">
        <f t="shared" si="59"/>
        <v>0.7142857142857143</v>
      </c>
      <c r="AJ77" s="49">
        <f t="shared" si="60"/>
        <v>1.7857142857142858</v>
      </c>
      <c r="AK77" s="49">
        <f t="shared" si="61"/>
        <v>0.4838709677419355</v>
      </c>
      <c r="AL77" s="49">
        <f t="shared" si="62"/>
        <v>7.192307692307693</v>
      </c>
      <c r="AM77" s="49">
        <f t="shared" si="63"/>
        <v>36.775000000000006</v>
      </c>
      <c r="AN77" s="49">
        <f t="shared" si="64"/>
        <v>30.15833333333333</v>
      </c>
      <c r="AO77" s="49">
        <f t="shared" si="65"/>
        <v>141.17391304347825</v>
      </c>
      <c r="AP77" s="49">
        <f t="shared" si="66"/>
        <v>39.84375</v>
      </c>
      <c r="AQ77" s="49">
        <f t="shared" si="67"/>
        <v>71.2</v>
      </c>
      <c r="AR77" s="100">
        <f t="shared" si="43"/>
        <v>0.24660393372343406</v>
      </c>
      <c r="AS77" s="49">
        <f t="shared" si="68"/>
        <v>4.838709677419355</v>
      </c>
      <c r="AT77" s="49"/>
      <c r="AU77" s="49">
        <f t="shared" si="69"/>
        <v>0.06349206349206349</v>
      </c>
      <c r="AV77" s="49">
        <f t="shared" si="70"/>
        <v>0.061538461538461535</v>
      </c>
      <c r="AW77" s="100">
        <f t="shared" si="71"/>
        <v>0.7142857142857143</v>
      </c>
      <c r="AX77" s="100">
        <f t="shared" si="44"/>
        <v>-1.7857142857142856</v>
      </c>
      <c r="AY77" s="100"/>
      <c r="AZ77" s="100">
        <f t="shared" si="45"/>
        <v>2.5</v>
      </c>
      <c r="BA77" s="79"/>
      <c r="BB77" s="79"/>
      <c r="BC77" s="107">
        <f t="shared" si="46"/>
        <v>216.013839783405</v>
      </c>
      <c r="BD77" s="107">
        <f t="shared" si="47"/>
        <v>112.8294642857143</v>
      </c>
      <c r="BE77" s="106">
        <f t="shared" si="48"/>
        <v>31.377976750897275</v>
      </c>
      <c r="BF77" s="104">
        <f>(('[2]setup'!$B$13*'[2]setup'!$B$14*'[2]setup'!$B$15)/10^(-R77))*10^6</f>
        <v>48.083248798116685</v>
      </c>
      <c r="BG77" s="110">
        <f t="shared" si="49"/>
        <v>14.911481788550784</v>
      </c>
      <c r="BH77" s="104">
        <f t="shared" si="50"/>
        <v>103.1843754976907</v>
      </c>
      <c r="BI77" s="104">
        <f t="shared" si="51"/>
        <v>216.26044371712842</v>
      </c>
      <c r="BJ77" s="104">
        <f t="shared" si="52"/>
        <v>175.82419487238178</v>
      </c>
      <c r="BK77" s="105">
        <f t="shared" si="53"/>
        <v>10.313142843395363</v>
      </c>
      <c r="BL77" s="106"/>
      <c r="BM77" s="107">
        <f>(3*('[2]setup'!$D$19*(10^-R77)^3)+2*('[2]setup'!$D$20*'[2]setup'!$D$19*((10^-R77)^2))+('[2]setup'!$D$21*'[2]setup'!$D$19*10^-R77)+('[2]setup'!$D$19*'[2]setup'!$D$22*(AP77/(10^6*2))*(10^-R77)^3))*10^6</f>
        <v>0.0002600813634745832</v>
      </c>
      <c r="BN77" s="108">
        <f t="shared" si="54"/>
        <v>55.34799071466094</v>
      </c>
      <c r="BO77" s="104">
        <f>(BN77/((('[2]setup'!$C$26)/10^-R77)+2*(('[2]setup'!$C$26*'[2]setup'!$C$27)/(10^-R77^2))+3*(('[2]setup'!$C$26*'[2]setup'!$C$27*'[2]setup'!$C$28)/(10^-R77^3))))/(10^-R77^3/(10^-R77^3+'[2]setup'!$C$26*10^-R77^2+'[2]setup'!$C$26*'[2]setup'!$C$27*10^-R77+'[2]setup'!$C$26*'[2]setup'!$C$27*'[2]setup'!$C$28))</f>
        <v>21.459855482033436</v>
      </c>
      <c r="BQ77" s="111">
        <f t="shared" si="72"/>
        <v>216.013839783405</v>
      </c>
      <c r="BR77" s="111">
        <f t="shared" si="73"/>
        <v>112.8294642857143</v>
      </c>
      <c r="BS77" s="111">
        <f t="shared" si="74"/>
        <v>1.9145162227873416</v>
      </c>
      <c r="BT77" s="111">
        <f t="shared" si="75"/>
        <v>102.47008978340497</v>
      </c>
      <c r="BU77" s="111">
        <f t="shared" si="76"/>
        <v>1.9827796775769417</v>
      </c>
    </row>
    <row r="78" spans="1:73" s="81" customFormat="1" ht="12.75">
      <c r="A78" s="82">
        <v>40106</v>
      </c>
      <c r="B78" s="2" t="s">
        <v>46</v>
      </c>
      <c r="C78" s="78">
        <v>997813</v>
      </c>
      <c r="E78" s="121">
        <v>0.006</v>
      </c>
      <c r="F78" s="77">
        <v>0.0029</v>
      </c>
      <c r="G78" s="77">
        <v>0.02</v>
      </c>
      <c r="H78" s="77">
        <v>2.075</v>
      </c>
      <c r="I78" s="77">
        <v>0.01</v>
      </c>
      <c r="J78" s="88">
        <v>0.03522</v>
      </c>
      <c r="K78" s="77">
        <v>0.005</v>
      </c>
      <c r="L78" s="77">
        <v>0.2653</v>
      </c>
      <c r="M78" s="77">
        <v>0.7482</v>
      </c>
      <c r="N78" s="77">
        <v>0.3803</v>
      </c>
      <c r="O78" s="77">
        <v>3.541</v>
      </c>
      <c r="P78" s="77">
        <v>0.696</v>
      </c>
      <c r="Q78" s="88">
        <v>2.871</v>
      </c>
      <c r="R78" s="77">
        <v>6.735</v>
      </c>
      <c r="S78" s="77">
        <v>20.5</v>
      </c>
      <c r="T78" s="77">
        <v>23.26</v>
      </c>
      <c r="U78" s="77">
        <v>0.05</v>
      </c>
      <c r="V78" s="77"/>
      <c r="W78" s="77">
        <v>0.002</v>
      </c>
      <c r="X78" s="77">
        <v>0.002</v>
      </c>
      <c r="Y78" s="77">
        <v>0.6317</v>
      </c>
      <c r="Z78" s="77">
        <v>0.1024</v>
      </c>
      <c r="AA78" s="77">
        <v>0.05718</v>
      </c>
      <c r="AE78" s="49">
        <f t="shared" si="55"/>
        <v>0.2142857142857143</v>
      </c>
      <c r="AF78" s="49">
        <f t="shared" si="56"/>
        <v>0.10545454545454544</v>
      </c>
      <c r="AG78" s="49">
        <f t="shared" si="57"/>
        <v>2.2222222222222223</v>
      </c>
      <c r="AH78" s="49">
        <f t="shared" si="58"/>
        <v>296.42857142857144</v>
      </c>
      <c r="AI78" s="49">
        <f t="shared" si="59"/>
        <v>0.7142857142857143</v>
      </c>
      <c r="AJ78" s="49">
        <f t="shared" si="60"/>
        <v>2.5157142857142856</v>
      </c>
      <c r="AK78" s="49">
        <f t="shared" si="61"/>
        <v>0.4838709677419355</v>
      </c>
      <c r="AL78" s="49">
        <f t="shared" si="62"/>
        <v>6.8025641025641015</v>
      </c>
      <c r="AM78" s="49">
        <f t="shared" si="63"/>
        <v>37.41</v>
      </c>
      <c r="AN78" s="49">
        <f t="shared" si="64"/>
        <v>31.691666666666666</v>
      </c>
      <c r="AO78" s="49">
        <f t="shared" si="65"/>
        <v>153.95652173913044</v>
      </c>
      <c r="AP78" s="49">
        <f t="shared" si="66"/>
        <v>43.5</v>
      </c>
      <c r="AQ78" s="49">
        <f t="shared" si="67"/>
        <v>82.02857142857142</v>
      </c>
      <c r="AR78" s="100">
        <f t="shared" si="43"/>
        <v>0.18407720014689538</v>
      </c>
      <c r="AS78" s="49">
        <f t="shared" si="68"/>
        <v>4.838709677419355</v>
      </c>
      <c r="AT78" s="49"/>
      <c r="AU78" s="49">
        <f t="shared" si="69"/>
        <v>0.06349206349206349</v>
      </c>
      <c r="AV78" s="49">
        <f t="shared" si="70"/>
        <v>0.061538461538461535</v>
      </c>
      <c r="AW78" s="100">
        <f t="shared" si="71"/>
        <v>7.314285714285715</v>
      </c>
      <c r="AX78" s="100">
        <f t="shared" si="44"/>
        <v>4.0842857142857145</v>
      </c>
      <c r="AY78" s="100"/>
      <c r="AZ78" s="100">
        <f t="shared" si="45"/>
        <v>3.23</v>
      </c>
      <c r="BA78" s="79"/>
      <c r="BB78" s="79"/>
      <c r="BC78" s="107">
        <f t="shared" si="46"/>
        <v>230.57503822264692</v>
      </c>
      <c r="BD78" s="107">
        <f t="shared" si="47"/>
        <v>128.0442857142857</v>
      </c>
      <c r="BE78" s="106">
        <f t="shared" si="48"/>
        <v>28.59041486743543</v>
      </c>
      <c r="BF78" s="104">
        <f>(('[2]setup'!$B$13*'[2]setup'!$B$14*'[2]setup'!$B$15)/10^(-R78))*10^6</f>
        <v>64.41600747053806</v>
      </c>
      <c r="BG78" s="110">
        <f t="shared" si="49"/>
        <v>6.115675935618708</v>
      </c>
      <c r="BH78" s="104">
        <f t="shared" si="50"/>
        <v>102.53075250836122</v>
      </c>
      <c r="BI78" s="104">
        <f t="shared" si="51"/>
        <v>230.75911542279383</v>
      </c>
      <c r="BJ78" s="104">
        <f t="shared" si="52"/>
        <v>198.57596912044247</v>
      </c>
      <c r="BK78" s="105">
        <f t="shared" si="53"/>
        <v>7.496043873654204</v>
      </c>
      <c r="BL78" s="106"/>
      <c r="BM78" s="107">
        <f>(3*('[2]setup'!$D$19*(10^-R78)^3)+2*('[2]setup'!$D$20*'[2]setup'!$D$19*((10^-R78)^2))+('[2]setup'!$D$21*'[2]setup'!$D$19*10^-R78)+('[2]setup'!$D$19*'[2]setup'!$D$22*(AP78/(10^6*2))*(10^-R78)^3))*10^6</f>
        <v>0.00018521748911815152</v>
      </c>
      <c r="BN78" s="108">
        <f t="shared" si="54"/>
        <v>38.29900745545916</v>
      </c>
      <c r="BO78" s="104">
        <f>(BN78/((('[2]setup'!$C$26)/10^-R78)+2*(('[2]setup'!$C$26*'[2]setup'!$C$27)/(10^-R78^2))+3*(('[2]setup'!$C$26*'[2]setup'!$C$27*'[2]setup'!$C$28)/(10^-R78^3))))/(10^-R78^3/(10^-R78^3+'[2]setup'!$C$26*10^-R78^2+'[2]setup'!$C$26*'[2]setup'!$C$27*10^-R78+'[2]setup'!$C$26*'[2]setup'!$C$27*'[2]setup'!$C$28))</f>
        <v>14.45350213387222</v>
      </c>
      <c r="BQ78" s="111">
        <f t="shared" si="72"/>
        <v>230.57503822264692</v>
      </c>
      <c r="BR78" s="111">
        <f t="shared" si="73"/>
        <v>128.0442857142857</v>
      </c>
      <c r="BS78" s="111">
        <f t="shared" si="74"/>
        <v>1.8007444606871825</v>
      </c>
      <c r="BT78" s="111">
        <f t="shared" si="75"/>
        <v>101.8164667940755</v>
      </c>
      <c r="BU78" s="111">
        <f t="shared" si="76"/>
        <v>1.8768645980040284</v>
      </c>
    </row>
    <row r="79" spans="1:73" s="81" customFormat="1" ht="12.75">
      <c r="A79" s="82">
        <v>40128</v>
      </c>
      <c r="B79" s="2" t="s">
        <v>46</v>
      </c>
      <c r="C79" s="78">
        <v>1003120</v>
      </c>
      <c r="E79" s="121">
        <v>0.006</v>
      </c>
      <c r="F79" s="77">
        <v>0.002386</v>
      </c>
      <c r="G79" s="77">
        <v>0.02</v>
      </c>
      <c r="H79" s="77">
        <v>1.871</v>
      </c>
      <c r="I79" s="77">
        <v>0.01</v>
      </c>
      <c r="J79" s="77">
        <v>0.025</v>
      </c>
      <c r="K79" s="77">
        <v>0.007</v>
      </c>
      <c r="L79" s="77">
        <v>0.1</v>
      </c>
      <c r="M79" s="77">
        <v>0.7865</v>
      </c>
      <c r="N79" s="77">
        <v>0.3815</v>
      </c>
      <c r="O79" s="77">
        <v>3.386</v>
      </c>
      <c r="P79" s="77">
        <v>0.6798</v>
      </c>
      <c r="Q79" s="77">
        <v>2.905</v>
      </c>
      <c r="R79" s="77">
        <v>6.715</v>
      </c>
      <c r="S79" s="77">
        <v>17.7</v>
      </c>
      <c r="T79" s="77">
        <v>23.67</v>
      </c>
      <c r="U79" s="77">
        <v>0.05</v>
      </c>
      <c r="V79" s="77"/>
      <c r="W79" s="77">
        <v>0.002</v>
      </c>
      <c r="X79" s="77">
        <v>0.002</v>
      </c>
      <c r="Y79" s="77">
        <v>0.8912</v>
      </c>
      <c r="Z79" s="77">
        <v>0.01</v>
      </c>
      <c r="AA79" s="77">
        <v>-0.025</v>
      </c>
      <c r="AE79" s="49">
        <f t="shared" si="55"/>
        <v>0.2142857142857143</v>
      </c>
      <c r="AF79" s="49">
        <f t="shared" si="56"/>
        <v>0.08676363636363638</v>
      </c>
      <c r="AG79" s="49">
        <f t="shared" si="57"/>
        <v>2.2222222222222223</v>
      </c>
      <c r="AH79" s="49">
        <f t="shared" si="58"/>
        <v>267.2857142857143</v>
      </c>
      <c r="AI79" s="49">
        <f t="shared" si="59"/>
        <v>0.7142857142857143</v>
      </c>
      <c r="AJ79" s="49">
        <f t="shared" si="60"/>
        <v>1.7857142857142858</v>
      </c>
      <c r="AK79" s="49">
        <f t="shared" si="61"/>
        <v>0.6774193548387097</v>
      </c>
      <c r="AL79" s="49">
        <f t="shared" si="62"/>
        <v>2.5641025641025643</v>
      </c>
      <c r="AM79" s="49">
        <f t="shared" si="63"/>
        <v>39.324999999999996</v>
      </c>
      <c r="AN79" s="49">
        <f t="shared" si="64"/>
        <v>31.791666666666668</v>
      </c>
      <c r="AO79" s="49">
        <f t="shared" si="65"/>
        <v>147.2173913043478</v>
      </c>
      <c r="AP79" s="49">
        <f t="shared" si="66"/>
        <v>42.4875</v>
      </c>
      <c r="AQ79" s="49">
        <f t="shared" si="67"/>
        <v>82.99999999999999</v>
      </c>
      <c r="AR79" s="100">
        <f t="shared" si="43"/>
        <v>0.19275249131909364</v>
      </c>
      <c r="AS79" s="49">
        <f t="shared" si="68"/>
        <v>4.838709677419355</v>
      </c>
      <c r="AT79" s="49"/>
      <c r="AU79" s="49">
        <f t="shared" si="69"/>
        <v>0.06349206349206349</v>
      </c>
      <c r="AV79" s="49">
        <f t="shared" si="70"/>
        <v>0.061538461538461535</v>
      </c>
      <c r="AW79" s="100">
        <f t="shared" si="71"/>
        <v>0.7142857142857143</v>
      </c>
      <c r="AX79" s="100">
        <f t="shared" si="44"/>
        <v>-1.7857142857142856</v>
      </c>
      <c r="AY79" s="100"/>
      <c r="AZ79" s="100">
        <f t="shared" si="45"/>
        <v>2.5</v>
      </c>
      <c r="BA79" s="79"/>
      <c r="BB79" s="79"/>
      <c r="BC79" s="107">
        <f t="shared" si="46"/>
        <v>221.61244624940275</v>
      </c>
      <c r="BD79" s="107">
        <f t="shared" si="47"/>
        <v>127.27321428571426</v>
      </c>
      <c r="BE79" s="106">
        <f t="shared" si="48"/>
        <v>27.040157459894452</v>
      </c>
      <c r="BF79" s="104">
        <f>(('[2]setup'!$B$13*'[2]setup'!$B$14*'[2]setup'!$B$15)/10^(-R79))*10^6</f>
        <v>61.516809555465294</v>
      </c>
      <c r="BG79" s="110">
        <f t="shared" si="49"/>
        <v>8.619956659622641</v>
      </c>
      <c r="BH79" s="104">
        <f t="shared" si="50"/>
        <v>94.3392319636885</v>
      </c>
      <c r="BI79" s="104">
        <f t="shared" si="51"/>
        <v>221.80519874072186</v>
      </c>
      <c r="BJ79" s="104">
        <f t="shared" si="52"/>
        <v>197.40998050080222</v>
      </c>
      <c r="BK79" s="105">
        <f t="shared" si="53"/>
        <v>5.819259284469928</v>
      </c>
      <c r="BL79" s="106"/>
      <c r="BM79" s="107">
        <f>(3*('[2]setup'!$D$19*(10^-R79)^3)+2*('[2]setup'!$D$20*'[2]setup'!$D$19*((10^-R79)^2))+('[2]setup'!$D$21*'[2]setup'!$D$19*10^-R79)+('[2]setup'!$D$19*'[2]setup'!$D$22*(AP79/(10^6*2))*(10^-R79)^3))*10^6</f>
        <v>0.00019521521221900685</v>
      </c>
      <c r="BN79" s="108">
        <f t="shared" si="54"/>
        <v>33.01537011475452</v>
      </c>
      <c r="BO79" s="104">
        <f>(BN79/((('[2]setup'!$C$26)/10^-R79)+2*(('[2]setup'!$C$26*'[2]setup'!$C$27)/(10^-R79^2))+3*(('[2]setup'!$C$26*'[2]setup'!$C$27*'[2]setup'!$C$28)/(10^-R79^3))))/(10^-R79^3/(10^-R79^3+'[2]setup'!$C$26*10^-R79^2+'[2]setup'!$C$26*'[2]setup'!$C$27*10^-R79+'[2]setup'!$C$26*'[2]setup'!$C$27*'[2]setup'!$C$28))</f>
        <v>12.510280483985674</v>
      </c>
      <c r="BQ79" s="111">
        <f t="shared" si="72"/>
        <v>221.61244624940275</v>
      </c>
      <c r="BR79" s="111">
        <f t="shared" si="73"/>
        <v>127.27321428571426</v>
      </c>
      <c r="BS79" s="111">
        <f t="shared" si="74"/>
        <v>1.7412339862172992</v>
      </c>
      <c r="BT79" s="111">
        <f t="shared" si="75"/>
        <v>93.62494624940277</v>
      </c>
      <c r="BU79" s="111">
        <f t="shared" si="76"/>
        <v>1.7737035096909377</v>
      </c>
    </row>
    <row r="80" spans="1:73" ht="12.75">
      <c r="A80" s="82">
        <v>40226</v>
      </c>
      <c r="B80" s="86" t="s">
        <v>46</v>
      </c>
      <c r="C80" s="8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2"/>
      <c r="AC80" s="8"/>
      <c r="AD80" s="88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100"/>
      <c r="AS80" s="49"/>
      <c r="AT80" s="49"/>
      <c r="AU80" s="49"/>
      <c r="AV80" s="49"/>
      <c r="AW80" s="100"/>
      <c r="AX80" s="100"/>
      <c r="AY80" s="100"/>
      <c r="AZ80" s="100"/>
      <c r="BA80" s="79"/>
      <c r="BB80" s="79"/>
      <c r="BC80" s="107"/>
      <c r="BD80" s="107"/>
      <c r="BE80" s="106"/>
      <c r="BF80" s="104"/>
      <c r="BG80" s="110"/>
      <c r="BH80" s="104"/>
      <c r="BI80" s="104"/>
      <c r="BJ80" s="104"/>
      <c r="BK80" s="105"/>
      <c r="BL80" s="106"/>
      <c r="BM80" s="107"/>
      <c r="BN80" s="108"/>
      <c r="BO80" s="104"/>
      <c r="BQ80" s="111"/>
      <c r="BR80" s="111"/>
      <c r="BS80" s="111"/>
      <c r="BT80" s="111"/>
      <c r="BU80" s="111"/>
    </row>
    <row r="81" spans="1:73" ht="12.75">
      <c r="A81" s="82">
        <v>40267</v>
      </c>
      <c r="B81" s="86" t="s">
        <v>46</v>
      </c>
      <c r="C81" s="78">
        <v>1019252</v>
      </c>
      <c r="E81" s="77">
        <v>0.006</v>
      </c>
      <c r="F81" s="77">
        <v>0.002</v>
      </c>
      <c r="G81" s="77">
        <v>0.03339</v>
      </c>
      <c r="H81" s="77">
        <v>2.023</v>
      </c>
      <c r="I81" s="115">
        <v>0.01</v>
      </c>
      <c r="J81" s="98">
        <v>0.04899</v>
      </c>
      <c r="K81" s="115">
        <v>0.005</v>
      </c>
      <c r="L81" s="77">
        <v>0.3301</v>
      </c>
      <c r="M81" s="77">
        <v>0.6258</v>
      </c>
      <c r="N81" s="77">
        <v>0.3637</v>
      </c>
      <c r="O81" s="77">
        <v>3.045</v>
      </c>
      <c r="P81" s="98">
        <v>0.6917</v>
      </c>
      <c r="Q81" s="98">
        <v>3.485</v>
      </c>
      <c r="R81" s="88">
        <v>6.422</v>
      </c>
      <c r="S81" s="88">
        <v>17.8</v>
      </c>
      <c r="T81" s="88">
        <v>21.86</v>
      </c>
      <c r="U81" s="77">
        <v>0.05</v>
      </c>
      <c r="V81" s="77"/>
      <c r="W81" s="77">
        <v>0.002</v>
      </c>
      <c r="X81" s="77">
        <v>0.002</v>
      </c>
      <c r="Y81" s="77">
        <v>1.78</v>
      </c>
      <c r="Z81" s="77">
        <v>0.1422</v>
      </c>
      <c r="AA81" s="77">
        <v>0.08320999999999999</v>
      </c>
      <c r="AC81" s="91"/>
      <c r="AD81" s="90"/>
      <c r="AE81" s="49">
        <f t="shared" si="55"/>
        <v>0.2142857142857143</v>
      </c>
      <c r="AF81" s="49">
        <f t="shared" si="56"/>
        <v>0.07272727272727272</v>
      </c>
      <c r="AG81" s="49">
        <f t="shared" si="57"/>
        <v>3.7100000000000004</v>
      </c>
      <c r="AH81" s="49">
        <f t="shared" si="58"/>
        <v>289.00000000000006</v>
      </c>
      <c r="AI81" s="49">
        <f t="shared" si="59"/>
        <v>0.7142857142857143</v>
      </c>
      <c r="AJ81" s="49">
        <f t="shared" si="60"/>
        <v>3.499285714285714</v>
      </c>
      <c r="AK81" s="49">
        <f t="shared" si="61"/>
        <v>0.4838709677419355</v>
      </c>
      <c r="AL81" s="49">
        <f t="shared" si="62"/>
        <v>8.464102564102564</v>
      </c>
      <c r="AM81" s="49">
        <f t="shared" si="63"/>
        <v>31.29</v>
      </c>
      <c r="AN81" s="49">
        <f t="shared" si="64"/>
        <v>30.308333333333337</v>
      </c>
      <c r="AO81" s="49">
        <f t="shared" si="65"/>
        <v>132.3913043478261</v>
      </c>
      <c r="AP81" s="49">
        <f t="shared" si="66"/>
        <v>43.231249999999996</v>
      </c>
      <c r="AQ81" s="49">
        <f t="shared" si="67"/>
        <v>99.57142857142857</v>
      </c>
      <c r="AR81" s="100">
        <f aca="true" t="shared" si="77" ref="AR81:AR98">SUM(10^(6-R81))</f>
        <v>0.3784425847170936</v>
      </c>
      <c r="AS81" s="49">
        <f t="shared" si="68"/>
        <v>4.838709677419355</v>
      </c>
      <c r="AT81" s="49"/>
      <c r="AU81" s="49">
        <f t="shared" si="69"/>
        <v>0.06349206349206349</v>
      </c>
      <c r="AV81" s="49">
        <f t="shared" si="70"/>
        <v>0.061538461538461535</v>
      </c>
      <c r="AW81" s="100">
        <f t="shared" si="71"/>
        <v>10.157142857142857</v>
      </c>
      <c r="AX81" s="100">
        <f aca="true" t="shared" si="78" ref="AX81:AX98">AW81-(AI81+AJ81)</f>
        <v>5.9435714285714285</v>
      </c>
      <c r="AY81" s="100"/>
      <c r="AZ81" s="100">
        <f aca="true" t="shared" si="79" ref="AZ81:AZ98">AI81+AJ81</f>
        <v>4.213571428571428</v>
      </c>
      <c r="BA81" s="79"/>
      <c r="BB81" s="79"/>
      <c r="BC81" s="107">
        <f aca="true" t="shared" si="80" ref="BC81:BC98">AL81+AM81+AN81+AO81+AI81</f>
        <v>203.16802595954772</v>
      </c>
      <c r="BD81" s="107">
        <f aca="true" t="shared" si="81" ref="BD81:BD98">AJ81+AP81+AQ81</f>
        <v>146.3019642857143</v>
      </c>
      <c r="BE81" s="106">
        <f aca="true" t="shared" si="82" ref="BE81:BE98">ABS(BC81-BD81)/(BC81+BD81)*100</f>
        <v>16.272087235279965</v>
      </c>
      <c r="BF81" s="104">
        <f>(('[2]setup'!$B$13*'[2]setup'!$B$14*'[2]setup'!$B$15)/10^(-R81))*10^6</f>
        <v>31.332410195544703</v>
      </c>
      <c r="BG81" s="110">
        <f aca="true" t="shared" si="83" ref="BG81:BG98">((10^-(0.96+0.9*R81-0.039*R81^2))*Y81*10)/((10^-(0.96+0.9*R81-0.039*R81^2))+10^(-R81))</f>
        <v>16.932860338923923</v>
      </c>
      <c r="BH81" s="104">
        <f aca="true" t="shared" si="84" ref="BH81:BH98">(AM81+AN81+AO81+AL81+AI81)-(AP81+AQ81+AJ81)</f>
        <v>56.86606167383343</v>
      </c>
      <c r="BI81" s="104">
        <f aca="true" t="shared" si="85" ref="BI81:BI98">(AM81+AN81+AO81+AL81+AI81)+((10^-R81)*10^6)</f>
        <v>203.54646854426483</v>
      </c>
      <c r="BJ81" s="104">
        <f aca="true" t="shared" si="86" ref="BJ81:BJ98">(AP81+AQ81+AJ81+BG81+BF81)</f>
        <v>194.5672348201829</v>
      </c>
      <c r="BK81" s="105">
        <f aca="true" t="shared" si="87" ref="BK81:BK98">ABS(BI81-BJ81)/(BI81+BJ81)*100</f>
        <v>2.2554445245663914</v>
      </c>
      <c r="BL81" s="106"/>
      <c r="BM81" s="107">
        <f>(3*('[2]setup'!$D$19*(10^-R81)^3)+2*('[2]setup'!$D$20*'[2]setup'!$D$19*((10^-R81)^2))+('[2]setup'!$D$21*'[2]setup'!$D$19*10^-R81)+('[2]setup'!$D$19*'[2]setup'!$D$22*(AP81/(10^6*2))*(10^-R81)^3))*10^6</f>
        <v>0.00044072910278957747</v>
      </c>
      <c r="BN81" s="108">
        <f aca="true" t="shared" si="88" ref="BN81:BN98">(AM81+AN81+AO81+AL81+AI81+(10^-R81)*10^6+BM81)-(AP81+AQ81+AJ81+BF81)</f>
        <v>25.91253479210863</v>
      </c>
      <c r="BO81" s="104">
        <f>(BN81/((('[2]setup'!$C$26)/10^-R81)+2*(('[2]setup'!$C$26*'[2]setup'!$C$27)/(10^-R81^2))+3*(('[2]setup'!$C$26*'[2]setup'!$C$27*'[2]setup'!$C$28)/(10^-R81^3))))/(10^-R81^3/(10^-R81^3+'[2]setup'!$C$26*10^-R81^2+'[2]setup'!$C$26*'[2]setup'!$C$27*10^-R81+'[2]setup'!$C$26*'[2]setup'!$C$27*'[2]setup'!$C$28))</f>
        <v>10.496231969654398</v>
      </c>
      <c r="BQ81" s="111">
        <f t="shared" si="72"/>
        <v>203.16802595954772</v>
      </c>
      <c r="BR81" s="111">
        <f t="shared" si="73"/>
        <v>146.3019642857143</v>
      </c>
      <c r="BS81" s="111">
        <f t="shared" si="74"/>
        <v>1.3886896662766552</v>
      </c>
      <c r="BT81" s="111">
        <f t="shared" si="75"/>
        <v>56.151775959547706</v>
      </c>
      <c r="BU81" s="111">
        <f t="shared" si="76"/>
        <v>1.329611377955212</v>
      </c>
    </row>
    <row r="82" spans="1:73" ht="12.75">
      <c r="A82" s="82">
        <v>40281</v>
      </c>
      <c r="B82" s="86" t="s">
        <v>46</v>
      </c>
      <c r="C82" s="78">
        <v>1020462</v>
      </c>
      <c r="E82" s="77">
        <v>0.03301</v>
      </c>
      <c r="F82" s="77">
        <v>0.002244</v>
      </c>
      <c r="G82" s="77">
        <v>0.04954</v>
      </c>
      <c r="H82" s="77">
        <v>1.386</v>
      </c>
      <c r="I82" s="77">
        <v>0.01</v>
      </c>
      <c r="J82" s="98">
        <v>0.04933</v>
      </c>
      <c r="K82" s="77">
        <v>0.005</v>
      </c>
      <c r="L82" s="77">
        <v>0.252</v>
      </c>
      <c r="M82" s="77">
        <v>0.4901</v>
      </c>
      <c r="N82" s="77">
        <v>0.233</v>
      </c>
      <c r="O82" s="77">
        <v>2.363</v>
      </c>
      <c r="P82" s="98">
        <v>0.4649</v>
      </c>
      <c r="Q82" s="98">
        <v>2.012</v>
      </c>
      <c r="R82" s="88">
        <v>6.182</v>
      </c>
      <c r="S82" s="88">
        <v>15.4</v>
      </c>
      <c r="T82" s="88">
        <v>16.58</v>
      </c>
      <c r="U82" s="77">
        <v>0.05</v>
      </c>
      <c r="V82" s="77"/>
      <c r="W82" s="77">
        <v>0.002</v>
      </c>
      <c r="X82" s="77">
        <v>0.002332</v>
      </c>
      <c r="Y82" s="77">
        <v>2.226</v>
      </c>
      <c r="Z82" s="77">
        <v>0.1436</v>
      </c>
      <c r="AA82" s="77">
        <v>0.08427000000000001</v>
      </c>
      <c r="AB82" s="2"/>
      <c r="AC82" s="88"/>
      <c r="AE82" s="49">
        <f t="shared" si="55"/>
        <v>1.1789285714285715</v>
      </c>
      <c r="AF82" s="49">
        <f t="shared" si="56"/>
        <v>0.08159999999999999</v>
      </c>
      <c r="AG82" s="49">
        <f t="shared" si="57"/>
        <v>5.504444444444444</v>
      </c>
      <c r="AH82" s="49">
        <f t="shared" si="58"/>
        <v>197.99999999999997</v>
      </c>
      <c r="AI82" s="49">
        <f t="shared" si="59"/>
        <v>0.7142857142857143</v>
      </c>
      <c r="AJ82" s="49">
        <f t="shared" si="60"/>
        <v>3.5235714285714286</v>
      </c>
      <c r="AK82" s="49">
        <f t="shared" si="61"/>
        <v>0.4838709677419355</v>
      </c>
      <c r="AL82" s="49">
        <f t="shared" si="62"/>
        <v>6.461538461538462</v>
      </c>
      <c r="AM82" s="49">
        <f t="shared" si="63"/>
        <v>24.505</v>
      </c>
      <c r="AN82" s="49">
        <f t="shared" si="64"/>
        <v>19.416666666666668</v>
      </c>
      <c r="AO82" s="49">
        <f t="shared" si="65"/>
        <v>102.73913043478261</v>
      </c>
      <c r="AP82" s="49">
        <f t="shared" si="66"/>
        <v>29.05625</v>
      </c>
      <c r="AQ82" s="49">
        <f t="shared" si="67"/>
        <v>57.48571428571429</v>
      </c>
      <c r="AR82" s="100">
        <f t="shared" si="77"/>
        <v>0.6576578373554198</v>
      </c>
      <c r="AS82" s="49">
        <f t="shared" si="68"/>
        <v>4.838709677419355</v>
      </c>
      <c r="AT82" s="49"/>
      <c r="AU82" s="49">
        <f t="shared" si="69"/>
        <v>0.06349206349206349</v>
      </c>
      <c r="AV82" s="49">
        <f t="shared" si="70"/>
        <v>0.07175384615384614</v>
      </c>
      <c r="AW82" s="100">
        <f t="shared" si="71"/>
        <v>10.257142857142856</v>
      </c>
      <c r="AX82" s="100">
        <f t="shared" si="78"/>
        <v>6.019285714285713</v>
      </c>
      <c r="AY82" s="100"/>
      <c r="AZ82" s="100">
        <f t="shared" si="79"/>
        <v>4.237857142857143</v>
      </c>
      <c r="BA82" s="79"/>
      <c r="BB82" s="79"/>
      <c r="BC82" s="107">
        <f t="shared" si="80"/>
        <v>153.83662127727348</v>
      </c>
      <c r="BD82" s="107">
        <f t="shared" si="81"/>
        <v>90.06553571428572</v>
      </c>
      <c r="BE82" s="106">
        <f t="shared" si="82"/>
        <v>26.14617531455235</v>
      </c>
      <c r="BF82" s="104">
        <f>(('[2]setup'!$B$13*'[2]setup'!$B$14*'[2]setup'!$B$15)/10^(-R82))*10^6</f>
        <v>18.02992015954638</v>
      </c>
      <c r="BG82" s="110">
        <f t="shared" si="83"/>
        <v>20.784079519204287</v>
      </c>
      <c r="BH82" s="104">
        <f t="shared" si="84"/>
        <v>63.771085562987736</v>
      </c>
      <c r="BI82" s="104">
        <f t="shared" si="85"/>
        <v>154.49427911462888</v>
      </c>
      <c r="BJ82" s="104">
        <f t="shared" si="86"/>
        <v>128.87953539303638</v>
      </c>
      <c r="BK82" s="105">
        <f t="shared" si="87"/>
        <v>9.039206309903989</v>
      </c>
      <c r="BL82" s="106"/>
      <c r="BM82" s="107">
        <f>(3*('[2]setup'!$D$19*(10^-R82)^3)+2*('[2]setup'!$D$20*'[2]setup'!$D$19*((10^-R82)^2))+('[2]setup'!$D$21*'[2]setup'!$D$19*10^-R82)+('[2]setup'!$D$19*'[2]setup'!$D$22*(AP82/(10^6*2))*(10^-R82)^3))*10^6</f>
        <v>0.000941619064717701</v>
      </c>
      <c r="BN82" s="108">
        <f t="shared" si="88"/>
        <v>46.399764859861506</v>
      </c>
      <c r="BO82" s="104">
        <f>(BN82/((('[2]setup'!$C$26)/10^-R82)+2*(('[2]setup'!$C$26*'[2]setup'!$C$27)/(10^-R82^2))+3*(('[2]setup'!$C$26*'[2]setup'!$C$27*'[2]setup'!$C$28)/(10^-R82^3))))/(10^-R82^3/(10^-R82^3+'[2]setup'!$C$26*10^-R82^2+'[2]setup'!$C$26*'[2]setup'!$C$27*10^-R82+'[2]setup'!$C$26*'[2]setup'!$C$27*'[2]setup'!$C$28))</f>
        <v>19.942228381202717</v>
      </c>
      <c r="BQ82" s="111">
        <f t="shared" si="72"/>
        <v>153.83662127727345</v>
      </c>
      <c r="BR82" s="111">
        <f t="shared" si="73"/>
        <v>90.06553571428572</v>
      </c>
      <c r="BS82" s="111">
        <f t="shared" si="74"/>
        <v>1.7080520318592043</v>
      </c>
      <c r="BT82" s="111">
        <f t="shared" si="75"/>
        <v>63.05679984870204</v>
      </c>
      <c r="BU82" s="111">
        <f t="shared" si="76"/>
        <v>1.7872115135275304</v>
      </c>
    </row>
    <row r="83" spans="1:73" ht="12.75">
      <c r="A83" s="82">
        <v>40295</v>
      </c>
      <c r="B83" s="86" t="s">
        <v>46</v>
      </c>
      <c r="C83" s="78">
        <v>1021693</v>
      </c>
      <c r="E83" s="77">
        <v>0.006</v>
      </c>
      <c r="F83" s="77">
        <v>0.002</v>
      </c>
      <c r="G83" s="77">
        <v>0.04534</v>
      </c>
      <c r="H83" s="77">
        <v>0.6382</v>
      </c>
      <c r="I83" s="95">
        <v>0.01</v>
      </c>
      <c r="J83" s="98">
        <v>0.02575</v>
      </c>
      <c r="K83" s="95">
        <v>0.005</v>
      </c>
      <c r="L83" s="77">
        <v>0.1</v>
      </c>
      <c r="M83" s="77">
        <v>0.2939</v>
      </c>
      <c r="N83" s="77">
        <v>0.1719</v>
      </c>
      <c r="O83" s="77">
        <v>1.304</v>
      </c>
      <c r="P83" s="98">
        <v>0.1923</v>
      </c>
      <c r="Q83" s="98">
        <v>0.9575</v>
      </c>
      <c r="R83" s="88">
        <v>6.219</v>
      </c>
      <c r="S83" s="88">
        <v>19.4</v>
      </c>
      <c r="T83" s="88">
        <v>10.81</v>
      </c>
      <c r="U83" s="77">
        <v>0.05</v>
      </c>
      <c r="V83" s="77"/>
      <c r="W83" s="77">
        <v>0.002</v>
      </c>
      <c r="X83" s="77">
        <v>0.002345</v>
      </c>
      <c r="Y83" s="77">
        <v>2.067</v>
      </c>
      <c r="Z83" s="77">
        <v>0.1691</v>
      </c>
      <c r="AA83" s="77">
        <v>0.13335</v>
      </c>
      <c r="AC83" s="8"/>
      <c r="AD83" s="89" t="s">
        <v>63</v>
      </c>
      <c r="AE83" s="49">
        <f t="shared" si="55"/>
        <v>0.2142857142857143</v>
      </c>
      <c r="AF83" s="49">
        <f t="shared" si="56"/>
        <v>0.07272727272727272</v>
      </c>
      <c r="AG83" s="49">
        <f t="shared" si="57"/>
        <v>5.037777777777778</v>
      </c>
      <c r="AH83" s="49">
        <f t="shared" si="58"/>
        <v>91.17142857142856</v>
      </c>
      <c r="AI83" s="49">
        <f t="shared" si="59"/>
        <v>0.7142857142857143</v>
      </c>
      <c r="AJ83" s="49">
        <f t="shared" si="60"/>
        <v>1.8392857142857142</v>
      </c>
      <c r="AK83" s="49">
        <f t="shared" si="61"/>
        <v>0.4838709677419355</v>
      </c>
      <c r="AL83" s="49">
        <f t="shared" si="62"/>
        <v>2.5641025641025643</v>
      </c>
      <c r="AM83" s="49">
        <f t="shared" si="63"/>
        <v>14.695</v>
      </c>
      <c r="AN83" s="49">
        <f t="shared" si="64"/>
        <v>14.325</v>
      </c>
      <c r="AO83" s="49">
        <f t="shared" si="65"/>
        <v>56.69565217391304</v>
      </c>
      <c r="AP83" s="49">
        <f t="shared" si="66"/>
        <v>12.01875</v>
      </c>
      <c r="AQ83" s="49">
        <f t="shared" si="67"/>
        <v>27.357142857142858</v>
      </c>
      <c r="AR83" s="100">
        <f t="shared" si="77"/>
        <v>0.6039486293763794</v>
      </c>
      <c r="AS83" s="49">
        <f t="shared" si="68"/>
        <v>4.838709677419355</v>
      </c>
      <c r="AT83" s="49"/>
      <c r="AU83" s="49">
        <f t="shared" si="69"/>
        <v>0.06349206349206349</v>
      </c>
      <c r="AV83" s="49">
        <f t="shared" si="70"/>
        <v>0.07215384615384615</v>
      </c>
      <c r="AW83" s="100">
        <f t="shared" si="71"/>
        <v>12.078571428571427</v>
      </c>
      <c r="AX83" s="100">
        <f t="shared" si="78"/>
        <v>9.524999999999999</v>
      </c>
      <c r="AY83" s="100"/>
      <c r="AZ83" s="100">
        <f t="shared" si="79"/>
        <v>2.5535714285714284</v>
      </c>
      <c r="BA83" s="79"/>
      <c r="BB83" s="79"/>
      <c r="BC83" s="107">
        <f t="shared" si="80"/>
        <v>88.99404045230132</v>
      </c>
      <c r="BD83" s="107">
        <f t="shared" si="81"/>
        <v>41.215178571428574</v>
      </c>
      <c r="BE83" s="106">
        <f t="shared" si="82"/>
        <v>36.693916328739604</v>
      </c>
      <c r="BF83" s="104">
        <f>(('[2]setup'!$B$13*'[2]setup'!$B$14*'[2]setup'!$B$15)/10^(-R83))*10^6</f>
        <v>19.633322642129183</v>
      </c>
      <c r="BG83" s="110">
        <f t="shared" si="83"/>
        <v>19.36177430652605</v>
      </c>
      <c r="BH83" s="104">
        <f t="shared" si="84"/>
        <v>47.778861880872746</v>
      </c>
      <c r="BI83" s="104">
        <f t="shared" si="85"/>
        <v>89.5979890816777</v>
      </c>
      <c r="BJ83" s="104">
        <f t="shared" si="86"/>
        <v>80.21027552008381</v>
      </c>
      <c r="BK83" s="105">
        <f t="shared" si="87"/>
        <v>5.528419705371927</v>
      </c>
      <c r="BL83" s="106"/>
      <c r="BM83" s="107">
        <f>(3*('[2]setup'!$D$19*(10^-R83)^3)+2*('[2]setup'!$D$20*'[2]setup'!$D$19*((10^-R83)^2))+('[2]setup'!$D$21*'[2]setup'!$D$19*10^-R83)+('[2]setup'!$D$19*'[2]setup'!$D$22*(AP83/(10^6*2))*(10^-R83)^3))*10^6</f>
        <v>0.000831309923796195</v>
      </c>
      <c r="BN83" s="108">
        <f t="shared" si="88"/>
        <v>28.75031917804374</v>
      </c>
      <c r="BO83" s="104">
        <f>(BN83/((('[2]setup'!$C$26)/10^-R83)+2*(('[2]setup'!$C$26*'[2]setup'!$C$27)/(10^-R83^2))+3*(('[2]setup'!$C$26*'[2]setup'!$C$27*'[2]setup'!$C$28)/(10^-R83^3))))/(10^-R83^3/(10^-R83^3+'[2]setup'!$C$26*10^-R83^2+'[2]setup'!$C$26*'[2]setup'!$C$27*10^-R83+'[2]setup'!$C$26*'[2]setup'!$C$27*'[2]setup'!$C$28))</f>
        <v>12.244766033681264</v>
      </c>
      <c r="BQ83" s="111">
        <f t="shared" si="72"/>
        <v>88.9940404523013</v>
      </c>
      <c r="BR83" s="111">
        <f t="shared" si="73"/>
        <v>41.215178571428574</v>
      </c>
      <c r="BS83" s="111">
        <f t="shared" si="74"/>
        <v>2.159254030601102</v>
      </c>
      <c r="BT83" s="111">
        <f t="shared" si="75"/>
        <v>47.06457616658704</v>
      </c>
      <c r="BU83" s="111">
        <f t="shared" si="76"/>
        <v>2.072425928028153</v>
      </c>
    </row>
    <row r="84" spans="1:73" ht="12.75">
      <c r="A84" s="82">
        <v>40309</v>
      </c>
      <c r="B84" s="86" t="s">
        <v>46</v>
      </c>
      <c r="C84" s="78">
        <v>1023065</v>
      </c>
      <c r="E84" s="96">
        <v>0.006</v>
      </c>
      <c r="F84" s="96">
        <v>0.002</v>
      </c>
      <c r="G84" s="96">
        <v>0.02</v>
      </c>
      <c r="H84" s="96">
        <v>2.186</v>
      </c>
      <c r="I84" s="116">
        <v>0.02</v>
      </c>
      <c r="J84" s="97">
        <v>0.02575</v>
      </c>
      <c r="K84" s="116">
        <v>0.006</v>
      </c>
      <c r="L84" s="96">
        <v>0.3222</v>
      </c>
      <c r="M84" s="96">
        <v>0.6365</v>
      </c>
      <c r="N84" s="96">
        <v>0.32</v>
      </c>
      <c r="O84" s="96">
        <v>2.877</v>
      </c>
      <c r="P84" s="97">
        <v>0.6307</v>
      </c>
      <c r="Q84" s="97">
        <v>2.765</v>
      </c>
      <c r="R84" s="88">
        <v>6.448</v>
      </c>
      <c r="S84" s="88">
        <v>17.8</v>
      </c>
      <c r="T84" s="88">
        <v>21.43</v>
      </c>
      <c r="U84" s="96">
        <v>0.05</v>
      </c>
      <c r="V84" s="77"/>
      <c r="W84" s="96">
        <v>0.002</v>
      </c>
      <c r="X84" s="96">
        <v>0.002757</v>
      </c>
      <c r="Y84" s="96">
        <v>1.444</v>
      </c>
      <c r="Z84" s="96">
        <v>0.2361</v>
      </c>
      <c r="AA84" s="77">
        <v>0.19035000000000002</v>
      </c>
      <c r="AB84" s="2"/>
      <c r="AC84" s="8"/>
      <c r="AD84" s="92" t="s">
        <v>63</v>
      </c>
      <c r="AE84" s="49">
        <f t="shared" si="55"/>
        <v>0.2142857142857143</v>
      </c>
      <c r="AF84" s="49">
        <f t="shared" si="56"/>
        <v>0.07272727272727272</v>
      </c>
      <c r="AG84" s="49">
        <f t="shared" si="57"/>
        <v>2.2222222222222223</v>
      </c>
      <c r="AH84" s="49">
        <f t="shared" si="58"/>
        <v>312.2857142857143</v>
      </c>
      <c r="AI84" s="49">
        <f t="shared" si="59"/>
        <v>1.4285714285714286</v>
      </c>
      <c r="AJ84" s="49">
        <f t="shared" si="60"/>
        <v>1.8392857142857142</v>
      </c>
      <c r="AK84" s="49">
        <f t="shared" si="61"/>
        <v>0.5806451612903225</v>
      </c>
      <c r="AL84" s="49">
        <f t="shared" si="62"/>
        <v>8.26153846153846</v>
      </c>
      <c r="AM84" s="49">
        <f t="shared" si="63"/>
        <v>31.825</v>
      </c>
      <c r="AN84" s="49">
        <f t="shared" si="64"/>
        <v>26.666666666666668</v>
      </c>
      <c r="AO84" s="49">
        <f t="shared" si="65"/>
        <v>125.08695652173913</v>
      </c>
      <c r="AP84" s="49">
        <f t="shared" si="66"/>
        <v>39.41875</v>
      </c>
      <c r="AQ84" s="49">
        <f t="shared" si="67"/>
        <v>79</v>
      </c>
      <c r="AR84" s="100">
        <f t="shared" si="77"/>
        <v>0.3564511334262439</v>
      </c>
      <c r="AS84" s="49">
        <f t="shared" si="68"/>
        <v>4.838709677419355</v>
      </c>
      <c r="AT84" s="49"/>
      <c r="AU84" s="49">
        <f t="shared" si="69"/>
        <v>0.06349206349206349</v>
      </c>
      <c r="AV84" s="49">
        <f t="shared" si="70"/>
        <v>0.08483076923076922</v>
      </c>
      <c r="AW84" s="100">
        <f t="shared" si="71"/>
        <v>16.864285714285714</v>
      </c>
      <c r="AX84" s="100">
        <f t="shared" si="78"/>
        <v>13.596428571428572</v>
      </c>
      <c r="AY84" s="100"/>
      <c r="AZ84" s="100">
        <f t="shared" si="79"/>
        <v>3.267857142857143</v>
      </c>
      <c r="BA84" s="79"/>
      <c r="BB84" s="79"/>
      <c r="BC84" s="107">
        <f t="shared" si="80"/>
        <v>193.26873307851568</v>
      </c>
      <c r="BD84" s="107">
        <f t="shared" si="81"/>
        <v>120.25803571428571</v>
      </c>
      <c r="BE84" s="106">
        <f t="shared" si="82"/>
        <v>23.2869102837213</v>
      </c>
      <c r="BF84" s="104">
        <f>(('[2]setup'!$B$13*'[2]setup'!$B$14*'[2]setup'!$B$15)/10^(-R84))*10^6</f>
        <v>33.26548070093791</v>
      </c>
      <c r="BG84" s="110">
        <f t="shared" si="83"/>
        <v>13.760271399621404</v>
      </c>
      <c r="BH84" s="104">
        <f t="shared" si="84"/>
        <v>73.01069736422997</v>
      </c>
      <c r="BI84" s="104">
        <f t="shared" si="85"/>
        <v>193.62518421194193</v>
      </c>
      <c r="BJ84" s="104">
        <f t="shared" si="86"/>
        <v>167.28378781484503</v>
      </c>
      <c r="BK84" s="105">
        <f t="shared" si="87"/>
        <v>7.298626090997212</v>
      </c>
      <c r="BL84" s="106"/>
      <c r="BM84" s="107">
        <f>(3*('[2]setup'!$D$19*(10^-R84)^3)+2*('[2]setup'!$D$20*'[2]setup'!$D$19*((10^-R84)^2))+('[2]setup'!$D$21*'[2]setup'!$D$19*10^-R84)+('[2]setup'!$D$19*'[2]setup'!$D$22*(AP84/(10^6*2))*(10^-R84)^3))*10^6</f>
        <v>0.00040831513747465213</v>
      </c>
      <c r="BN84" s="108">
        <f t="shared" si="88"/>
        <v>40.10207611185578</v>
      </c>
      <c r="BO84" s="104">
        <f>(BN84/((('[2]setup'!$C$26)/10^-R84)+2*(('[2]setup'!$C$26*'[2]setup'!$C$27)/(10^-R84^2))+3*(('[2]setup'!$C$26*'[2]setup'!$C$27*'[2]setup'!$C$28)/(10^-R84^3))))/(10^-R84^3/(10^-R84^3+'[2]setup'!$C$26*10^-R84^2+'[2]setup'!$C$26*'[2]setup'!$C$27*10^-R84+'[2]setup'!$C$26*'[2]setup'!$C$27*'[2]setup'!$C$28))</f>
        <v>16.141503288624186</v>
      </c>
      <c r="BQ84" s="111">
        <f t="shared" si="72"/>
        <v>193.26873307851568</v>
      </c>
      <c r="BR84" s="111">
        <f t="shared" si="73"/>
        <v>120.25803571428571</v>
      </c>
      <c r="BS84" s="111">
        <f t="shared" si="74"/>
        <v>1.6071169958046876</v>
      </c>
      <c r="BT84" s="111">
        <f t="shared" si="75"/>
        <v>71.58212593565855</v>
      </c>
      <c r="BU84" s="111">
        <f t="shared" si="76"/>
        <v>1.5833791964777104</v>
      </c>
    </row>
    <row r="85" spans="1:73" ht="12.75">
      <c r="A85" s="82">
        <v>40323</v>
      </c>
      <c r="B85" s="86" t="s">
        <v>46</v>
      </c>
      <c r="C85" s="78">
        <v>1024024</v>
      </c>
      <c r="E85" s="96">
        <v>0.006</v>
      </c>
      <c r="F85" s="96">
        <v>0.002</v>
      </c>
      <c r="G85" s="96">
        <v>0.0232</v>
      </c>
      <c r="H85" s="96">
        <v>1.565</v>
      </c>
      <c r="I85" s="117">
        <v>0.01</v>
      </c>
      <c r="J85" s="97">
        <v>0.025</v>
      </c>
      <c r="K85" s="118">
        <v>0.005</v>
      </c>
      <c r="L85" s="96">
        <v>0.1</v>
      </c>
      <c r="M85" s="96">
        <v>0.56</v>
      </c>
      <c r="N85" s="96">
        <v>0.2804</v>
      </c>
      <c r="O85" s="96">
        <v>2.409</v>
      </c>
      <c r="P85" s="97">
        <v>0.4293</v>
      </c>
      <c r="Q85" s="97">
        <v>1.814</v>
      </c>
      <c r="R85" s="77">
        <v>6.502</v>
      </c>
      <c r="S85" s="77">
        <v>16.8</v>
      </c>
      <c r="T85" s="77">
        <v>16.69</v>
      </c>
      <c r="U85" s="96">
        <v>0.05</v>
      </c>
      <c r="V85" s="96"/>
      <c r="W85" s="96">
        <v>0.002</v>
      </c>
      <c r="X85" s="96">
        <v>0.002026</v>
      </c>
      <c r="Y85" s="96">
        <v>1.161</v>
      </c>
      <c r="Z85" s="96">
        <v>0.01</v>
      </c>
      <c r="AA85" s="77">
        <v>-0.025</v>
      </c>
      <c r="AB85" s="2"/>
      <c r="AC85" s="8"/>
      <c r="AD85" s="93" t="s">
        <v>63</v>
      </c>
      <c r="AE85" s="49">
        <f t="shared" si="55"/>
        <v>0.2142857142857143</v>
      </c>
      <c r="AF85" s="49">
        <f t="shared" si="56"/>
        <v>0.07272727272727272</v>
      </c>
      <c r="AG85" s="49">
        <f t="shared" si="57"/>
        <v>2.5777777777777775</v>
      </c>
      <c r="AH85" s="49">
        <f t="shared" si="58"/>
        <v>223.57142857142856</v>
      </c>
      <c r="AI85" s="49">
        <f t="shared" si="59"/>
        <v>0.7142857142857143</v>
      </c>
      <c r="AJ85" s="49">
        <f t="shared" si="60"/>
        <v>1.7857142857142858</v>
      </c>
      <c r="AK85" s="49">
        <f t="shared" si="61"/>
        <v>0.4838709677419355</v>
      </c>
      <c r="AL85" s="49">
        <f t="shared" si="62"/>
        <v>2.5641025641025643</v>
      </c>
      <c r="AM85" s="49">
        <f t="shared" si="63"/>
        <v>28.000000000000004</v>
      </c>
      <c r="AN85" s="49">
        <f t="shared" si="64"/>
        <v>23.366666666666664</v>
      </c>
      <c r="AO85" s="49">
        <f t="shared" si="65"/>
        <v>104.7391304347826</v>
      </c>
      <c r="AP85" s="49">
        <f t="shared" si="66"/>
        <v>26.83125</v>
      </c>
      <c r="AQ85" s="49">
        <f t="shared" si="67"/>
        <v>51.82857142857143</v>
      </c>
      <c r="AR85" s="100">
        <f t="shared" si="77"/>
        <v>0.3147748314101317</v>
      </c>
      <c r="AS85" s="49">
        <f t="shared" si="68"/>
        <v>4.838709677419355</v>
      </c>
      <c r="AT85" s="49"/>
      <c r="AU85" s="49">
        <f t="shared" si="69"/>
        <v>0.06349206349206349</v>
      </c>
      <c r="AV85" s="49">
        <f t="shared" si="70"/>
        <v>0.062338461538461544</v>
      </c>
      <c r="AW85" s="100">
        <f t="shared" si="71"/>
        <v>0.7142857142857143</v>
      </c>
      <c r="AX85" s="100">
        <f t="shared" si="78"/>
        <v>-1.7857142857142856</v>
      </c>
      <c r="AY85" s="100"/>
      <c r="AZ85" s="100">
        <f t="shared" si="79"/>
        <v>2.5</v>
      </c>
      <c r="BA85" s="79"/>
      <c r="BB85" s="79"/>
      <c r="BC85" s="107">
        <f t="shared" si="80"/>
        <v>159.38418537983756</v>
      </c>
      <c r="BD85" s="107">
        <f t="shared" si="81"/>
        <v>80.44553571428571</v>
      </c>
      <c r="BE85" s="106">
        <f t="shared" si="82"/>
        <v>32.9144566842788</v>
      </c>
      <c r="BF85" s="104">
        <f>(('[2]setup'!$B$13*'[2]setup'!$B$14*'[2]setup'!$B$15)/10^(-R85))*10^6</f>
        <v>37.66984242894745</v>
      </c>
      <c r="BG85" s="110">
        <f t="shared" si="83"/>
        <v>11.101358297995514</v>
      </c>
      <c r="BH85" s="104">
        <f t="shared" si="84"/>
        <v>78.93864966555184</v>
      </c>
      <c r="BI85" s="104">
        <f t="shared" si="85"/>
        <v>159.69896021124768</v>
      </c>
      <c r="BJ85" s="104">
        <f t="shared" si="86"/>
        <v>129.2167364412287</v>
      </c>
      <c r="BK85" s="105">
        <f t="shared" si="87"/>
        <v>10.550559946448553</v>
      </c>
      <c r="BL85" s="106"/>
      <c r="BM85" s="107">
        <f>(3*('[2]setup'!$D$19*(10^-R85)^3)+2*('[2]setup'!$D$20*'[2]setup'!$D$19*((10^-R85)^2))+('[2]setup'!$D$21*'[2]setup'!$D$19*10^-R85)+('[2]setup'!$D$19*'[2]setup'!$D$22*(AP85/(10^6*2))*(10^-R85)^3))*10^6</f>
        <v>0.00034943894790580814</v>
      </c>
      <c r="BN85" s="108">
        <f t="shared" si="88"/>
        <v>41.5839315069624</v>
      </c>
      <c r="BO85" s="104">
        <f>(BN85/((('[2]setup'!$C$26)/10^-R85)+2*(('[2]setup'!$C$26*'[2]setup'!$C$27)/(10^-R85^2))+3*(('[2]setup'!$C$26*'[2]setup'!$C$27*'[2]setup'!$C$28)/(10^-R85^3))))/(10^-R85^3/(10^-R85^3+'[2]setup'!$C$26*10^-R85^2+'[2]setup'!$C$26*'[2]setup'!$C$27*10^-R85+'[2]setup'!$C$26*'[2]setup'!$C$27*'[2]setup'!$C$28))</f>
        <v>16.52252573136752</v>
      </c>
      <c r="BQ85" s="111">
        <f t="shared" si="72"/>
        <v>159.38418537983753</v>
      </c>
      <c r="BR85" s="111">
        <f t="shared" si="73"/>
        <v>80.44553571428571</v>
      </c>
      <c r="BS85" s="111">
        <f t="shared" si="74"/>
        <v>1.9812682452126888</v>
      </c>
      <c r="BT85" s="111">
        <f t="shared" si="75"/>
        <v>78.22436395126613</v>
      </c>
      <c r="BU85" s="111">
        <f t="shared" si="76"/>
        <v>2.0208762763050667</v>
      </c>
    </row>
    <row r="86" spans="1:73" ht="12.75">
      <c r="A86" s="82">
        <v>40337</v>
      </c>
      <c r="B86" s="86" t="s">
        <v>46</v>
      </c>
      <c r="C86" s="78">
        <v>1026806</v>
      </c>
      <c r="E86" s="77">
        <v>0.03974</v>
      </c>
      <c r="F86" s="77">
        <v>0.002737</v>
      </c>
      <c r="G86" s="77">
        <v>0.1374</v>
      </c>
      <c r="H86" s="77">
        <v>1.558</v>
      </c>
      <c r="I86" s="95">
        <v>0.01</v>
      </c>
      <c r="J86" s="98">
        <v>0.025</v>
      </c>
      <c r="K86" s="95">
        <v>0.005</v>
      </c>
      <c r="L86" s="77">
        <v>0.2568</v>
      </c>
      <c r="M86" s="77">
        <v>0.7877</v>
      </c>
      <c r="N86" s="77">
        <v>0.367</v>
      </c>
      <c r="O86" s="77">
        <v>2.654</v>
      </c>
      <c r="P86" s="98">
        <v>0.442</v>
      </c>
      <c r="Q86" s="98">
        <v>2.134</v>
      </c>
      <c r="R86" s="77">
        <v>6.268</v>
      </c>
      <c r="S86" s="77">
        <v>16.4</v>
      </c>
      <c r="T86" s="77">
        <v>19</v>
      </c>
      <c r="U86" s="77">
        <v>0.05</v>
      </c>
      <c r="V86" s="77"/>
      <c r="W86" s="77">
        <v>0.002</v>
      </c>
      <c r="X86" s="77">
        <v>0.002083</v>
      </c>
      <c r="Y86" s="77">
        <v>5.453</v>
      </c>
      <c r="Z86" s="77">
        <v>0.1721</v>
      </c>
      <c r="AA86" s="77">
        <v>0.1371</v>
      </c>
      <c r="AB86" s="91"/>
      <c r="AC86" s="2"/>
      <c r="AD86" s="94" t="s">
        <v>63</v>
      </c>
      <c r="AE86" s="49">
        <f t="shared" si="55"/>
        <v>1.4192857142857143</v>
      </c>
      <c r="AF86" s="49">
        <f t="shared" si="56"/>
        <v>0.09952727272727271</v>
      </c>
      <c r="AG86" s="49">
        <f t="shared" si="57"/>
        <v>15.266666666666664</v>
      </c>
      <c r="AH86" s="49">
        <f t="shared" si="58"/>
        <v>222.57142857142858</v>
      </c>
      <c r="AI86" s="49">
        <f t="shared" si="59"/>
        <v>0.7142857142857143</v>
      </c>
      <c r="AJ86" s="49">
        <f t="shared" si="60"/>
        <v>1.7857142857142858</v>
      </c>
      <c r="AK86" s="49">
        <f t="shared" si="61"/>
        <v>0.4838709677419355</v>
      </c>
      <c r="AL86" s="49">
        <f t="shared" si="62"/>
        <v>6.584615384615384</v>
      </c>
      <c r="AM86" s="49">
        <f t="shared" si="63"/>
        <v>39.385</v>
      </c>
      <c r="AN86" s="49">
        <f t="shared" si="64"/>
        <v>30.583333333333332</v>
      </c>
      <c r="AO86" s="49">
        <f t="shared" si="65"/>
        <v>115.3913043478261</v>
      </c>
      <c r="AP86" s="49">
        <f t="shared" si="66"/>
        <v>27.625</v>
      </c>
      <c r="AQ86" s="49">
        <f t="shared" si="67"/>
        <v>60.97142857142857</v>
      </c>
      <c r="AR86" s="100">
        <f t="shared" si="77"/>
        <v>0.5395106225151278</v>
      </c>
      <c r="AS86" s="49">
        <f t="shared" si="68"/>
        <v>4.838709677419355</v>
      </c>
      <c r="AT86" s="49"/>
      <c r="AU86" s="49">
        <f t="shared" si="69"/>
        <v>0.06349206349206349</v>
      </c>
      <c r="AV86" s="49">
        <f t="shared" si="70"/>
        <v>0.0640923076923077</v>
      </c>
      <c r="AW86" s="100">
        <f t="shared" si="71"/>
        <v>12.292857142857143</v>
      </c>
      <c r="AX86" s="100">
        <f t="shared" si="78"/>
        <v>9.792857142857143</v>
      </c>
      <c r="AY86" s="100"/>
      <c r="AZ86" s="100">
        <f t="shared" si="79"/>
        <v>2.5</v>
      </c>
      <c r="BA86" s="79"/>
      <c r="BB86" s="79"/>
      <c r="BC86" s="107">
        <f t="shared" si="80"/>
        <v>192.65853878006052</v>
      </c>
      <c r="BD86" s="107">
        <f t="shared" si="81"/>
        <v>90.38214285714285</v>
      </c>
      <c r="BE86" s="106">
        <f t="shared" si="82"/>
        <v>36.13487479302137</v>
      </c>
      <c r="BF86" s="104">
        <f>(('[2]setup'!$B$13*'[2]setup'!$B$14*'[2]setup'!$B$15)/10^(-R86))*10^6</f>
        <v>21.97828514393277</v>
      </c>
      <c r="BG86" s="110">
        <f t="shared" si="83"/>
        <v>51.28675269508538</v>
      </c>
      <c r="BH86" s="104">
        <f t="shared" si="84"/>
        <v>102.27639592291767</v>
      </c>
      <c r="BI86" s="104">
        <f t="shared" si="85"/>
        <v>193.19804940257566</v>
      </c>
      <c r="BJ86" s="104">
        <f t="shared" si="86"/>
        <v>163.647180696161</v>
      </c>
      <c r="BK86" s="105">
        <f t="shared" si="87"/>
        <v>8.28114437686</v>
      </c>
      <c r="BL86" s="106"/>
      <c r="BM86" s="107">
        <f>(3*('[2]setup'!$D$19*(10^-R86)^3)+2*('[2]setup'!$D$20*'[2]setup'!$D$19*((10^-R86)^2))+('[2]setup'!$D$21*'[2]setup'!$D$19*10^-R86)+('[2]setup'!$D$19*'[2]setup'!$D$22*(AP86/(10^6*2))*(10^-R86)^3))*10^6</f>
        <v>0.0007083411852152991</v>
      </c>
      <c r="BN86" s="108">
        <f t="shared" si="88"/>
        <v>80.83832974268525</v>
      </c>
      <c r="BO86" s="104">
        <f>(BN86/((('[2]setup'!$C$26)/10^-R86)+2*(('[2]setup'!$C$26*'[2]setup'!$C$27)/(10^-R86^2))+3*(('[2]setup'!$C$26*'[2]setup'!$C$27*'[2]setup'!$C$28)/(10^-R86^3))))/(10^-R86^3/(10^-R86^3+'[2]setup'!$C$26*10^-R86^2+'[2]setup'!$C$26*'[2]setup'!$C$27*10^-R86+'[2]setup'!$C$26*'[2]setup'!$C$27*'[2]setup'!$C$28))</f>
        <v>34.01432839638191</v>
      </c>
      <c r="BQ86" s="111">
        <f t="shared" si="72"/>
        <v>192.65853878006052</v>
      </c>
      <c r="BR86" s="111">
        <f t="shared" si="73"/>
        <v>90.38214285714285</v>
      </c>
      <c r="BS86" s="111">
        <f t="shared" si="74"/>
        <v>2.1315995913548407</v>
      </c>
      <c r="BT86" s="111">
        <f t="shared" si="75"/>
        <v>101.56211020863195</v>
      </c>
      <c r="BU86" s="111">
        <f t="shared" si="76"/>
        <v>1.892547165967157</v>
      </c>
    </row>
    <row r="87" spans="1:73" ht="12.75">
      <c r="A87" s="82">
        <v>40364</v>
      </c>
      <c r="B87" s="86" t="s">
        <v>46</v>
      </c>
      <c r="C87" s="78">
        <v>1030518</v>
      </c>
      <c r="E87" s="77">
        <v>0.006</v>
      </c>
      <c r="F87" s="77">
        <v>0.002</v>
      </c>
      <c r="G87" s="77">
        <v>0.02477</v>
      </c>
      <c r="H87" s="77">
        <v>2.201</v>
      </c>
      <c r="I87" s="95">
        <v>0.01</v>
      </c>
      <c r="J87" s="98">
        <v>0.02952</v>
      </c>
      <c r="K87" s="95">
        <v>0.005</v>
      </c>
      <c r="L87" s="77">
        <v>0.1</v>
      </c>
      <c r="M87" s="77">
        <v>0.8579</v>
      </c>
      <c r="N87" s="77">
        <v>0.3792</v>
      </c>
      <c r="O87" s="77">
        <v>3.399</v>
      </c>
      <c r="P87" s="98">
        <v>0.6745</v>
      </c>
      <c r="Q87" s="98">
        <v>2.864</v>
      </c>
      <c r="R87" s="77">
        <v>6.694</v>
      </c>
      <c r="S87" s="77">
        <v>16.1</v>
      </c>
      <c r="T87" s="77">
        <v>22.99</v>
      </c>
      <c r="U87" s="77">
        <v>0.05</v>
      </c>
      <c r="V87" s="77"/>
      <c r="W87" s="77">
        <v>0.002204</v>
      </c>
      <c r="X87" s="77">
        <v>0.002384</v>
      </c>
      <c r="Y87" s="77">
        <v>0.6881</v>
      </c>
      <c r="Z87" s="77">
        <v>0.1447</v>
      </c>
      <c r="AA87" s="77">
        <v>0.10518</v>
      </c>
      <c r="AB87" s="91"/>
      <c r="AC87" s="2"/>
      <c r="AD87" s="89">
        <v>0.1125</v>
      </c>
      <c r="AE87" s="49">
        <f t="shared" si="55"/>
        <v>0.2142857142857143</v>
      </c>
      <c r="AF87" s="49">
        <f t="shared" si="56"/>
        <v>0.07272727272727272</v>
      </c>
      <c r="AG87" s="49">
        <f t="shared" si="57"/>
        <v>2.752222222222222</v>
      </c>
      <c r="AH87" s="49">
        <f t="shared" si="58"/>
        <v>314.42857142857144</v>
      </c>
      <c r="AI87" s="49">
        <f t="shared" si="59"/>
        <v>0.7142857142857143</v>
      </c>
      <c r="AJ87" s="49">
        <f t="shared" si="60"/>
        <v>2.108571428571429</v>
      </c>
      <c r="AK87" s="49">
        <f t="shared" si="61"/>
        <v>0.4838709677419355</v>
      </c>
      <c r="AL87" s="49">
        <f t="shared" si="62"/>
        <v>2.5641025641025643</v>
      </c>
      <c r="AM87" s="49">
        <f t="shared" si="63"/>
        <v>42.895</v>
      </c>
      <c r="AN87" s="49">
        <f t="shared" si="64"/>
        <v>31.599999999999998</v>
      </c>
      <c r="AO87" s="49">
        <f t="shared" si="65"/>
        <v>147.7826086956522</v>
      </c>
      <c r="AP87" s="49">
        <f t="shared" si="66"/>
        <v>42.15625</v>
      </c>
      <c r="AQ87" s="49">
        <f t="shared" si="67"/>
        <v>81.82857142857144</v>
      </c>
      <c r="AR87" s="100">
        <f t="shared" si="77"/>
        <v>0.20230191786782714</v>
      </c>
      <c r="AS87" s="49">
        <f t="shared" si="68"/>
        <v>4.838709677419355</v>
      </c>
      <c r="AT87" s="49"/>
      <c r="AU87" s="49">
        <f t="shared" si="69"/>
        <v>0.06996825396825396</v>
      </c>
      <c r="AV87" s="49">
        <f t="shared" si="70"/>
        <v>0.07335384615384616</v>
      </c>
      <c r="AW87" s="100">
        <f t="shared" si="71"/>
        <v>10.335714285714285</v>
      </c>
      <c r="AX87" s="100">
        <f t="shared" si="78"/>
        <v>7.512857142857142</v>
      </c>
      <c r="AY87" s="100"/>
      <c r="AZ87" s="100">
        <f t="shared" si="79"/>
        <v>2.8228571428571434</v>
      </c>
      <c r="BA87" s="79"/>
      <c r="BB87" s="79"/>
      <c r="BC87" s="107">
        <f t="shared" si="80"/>
        <v>225.55599697404045</v>
      </c>
      <c r="BD87" s="107">
        <f t="shared" si="81"/>
        <v>126.09339285714287</v>
      </c>
      <c r="BE87" s="106">
        <f t="shared" si="82"/>
        <v>28.28459454021709</v>
      </c>
      <c r="BF87" s="104">
        <f>(('[2]setup'!$B$13*'[2]setup'!$B$14*'[2]setup'!$B$15)/10^(-R87))*10^6</f>
        <v>58.61298016742084</v>
      </c>
      <c r="BG87" s="110">
        <f t="shared" si="83"/>
        <v>6.648848944637522</v>
      </c>
      <c r="BH87" s="104">
        <f t="shared" si="84"/>
        <v>99.46260411689762</v>
      </c>
      <c r="BI87" s="104">
        <f t="shared" si="85"/>
        <v>225.7582988919083</v>
      </c>
      <c r="BJ87" s="104">
        <f t="shared" si="86"/>
        <v>191.3552219692012</v>
      </c>
      <c r="BK87" s="105">
        <f t="shared" si="87"/>
        <v>8.2478930080434</v>
      </c>
      <c r="BL87" s="106"/>
      <c r="BM87" s="107">
        <f>(3*('[2]setup'!$D$19*(10^-R87)^3)+2*('[2]setup'!$D$20*'[2]setup'!$D$19*((10^-R87)^2))+('[2]setup'!$D$21*'[2]setup'!$D$19*10^-R87)+('[2]setup'!$D$19*'[2]setup'!$D$22*(AP87/(10^6*2))*(10^-R87)^3))*10^6</f>
        <v>0.00020636319018566172</v>
      </c>
      <c r="BN87" s="108">
        <f t="shared" si="88"/>
        <v>41.052132230534795</v>
      </c>
      <c r="BO87" s="104">
        <f>(BN87/((('[2]setup'!$C$26)/10^-R87)+2*(('[2]setup'!$C$26*'[2]setup'!$C$27)/(10^-R87^2))+3*(('[2]setup'!$C$26*'[2]setup'!$C$27*'[2]setup'!$C$28)/(10^-R87^3))))/(10^-R87^3/(10^-R87^3+'[2]setup'!$C$26*10^-R87^2+'[2]setup'!$C$26*'[2]setup'!$C$27*10^-R87+'[2]setup'!$C$26*'[2]setup'!$C$27*'[2]setup'!$C$28))</f>
        <v>15.623391292276002</v>
      </c>
      <c r="BQ87" s="111">
        <f t="shared" si="72"/>
        <v>225.55599697404045</v>
      </c>
      <c r="BR87" s="111">
        <f t="shared" si="73"/>
        <v>126.09339285714287</v>
      </c>
      <c r="BS87" s="111">
        <f t="shared" si="74"/>
        <v>1.7888010772268095</v>
      </c>
      <c r="BT87" s="111">
        <f t="shared" si="75"/>
        <v>98.74831840261186</v>
      </c>
      <c r="BU87" s="111">
        <f t="shared" si="76"/>
        <v>1.8060025504007773</v>
      </c>
    </row>
    <row r="88" spans="1:73" ht="12.75">
      <c r="A88" s="82">
        <v>40400</v>
      </c>
      <c r="B88" s="86" t="s">
        <v>46</v>
      </c>
      <c r="C88" s="78">
        <v>1035953</v>
      </c>
      <c r="E88" s="77">
        <v>0.04916</v>
      </c>
      <c r="F88" s="77">
        <v>0.002398</v>
      </c>
      <c r="G88" s="77">
        <v>0.0927</v>
      </c>
      <c r="H88" s="77">
        <v>1.735</v>
      </c>
      <c r="I88" s="95">
        <v>0.01</v>
      </c>
      <c r="J88" s="98">
        <v>0.02572</v>
      </c>
      <c r="K88" s="95">
        <v>0.005</v>
      </c>
      <c r="L88" s="77">
        <v>0.1</v>
      </c>
      <c r="M88" s="77">
        <v>0.6211</v>
      </c>
      <c r="N88" s="77">
        <v>0.3443</v>
      </c>
      <c r="O88" s="77">
        <v>3.208</v>
      </c>
      <c r="P88" s="98">
        <v>0.5126</v>
      </c>
      <c r="Q88" s="98">
        <v>2.155</v>
      </c>
      <c r="R88" s="77">
        <v>6.291</v>
      </c>
      <c r="S88" s="77">
        <v>17.9</v>
      </c>
      <c r="T88" s="77">
        <v>19.55</v>
      </c>
      <c r="U88" s="77">
        <v>0.05</v>
      </c>
      <c r="V88" s="77"/>
      <c r="W88" s="77">
        <v>0.002</v>
      </c>
      <c r="X88" s="77">
        <v>0.002784</v>
      </c>
      <c r="Y88" s="77">
        <v>3.773</v>
      </c>
      <c r="Z88" s="77">
        <v>0.124</v>
      </c>
      <c r="AA88" s="77">
        <v>0.08828</v>
      </c>
      <c r="AB88" s="2"/>
      <c r="AC88" s="8"/>
      <c r="AD88" s="89">
        <v>0.05116</v>
      </c>
      <c r="AE88" s="49">
        <f t="shared" si="55"/>
        <v>1.7557142857142858</v>
      </c>
      <c r="AF88" s="49">
        <f t="shared" si="56"/>
        <v>0.08719999999999999</v>
      </c>
      <c r="AG88" s="49">
        <f t="shared" si="57"/>
        <v>10.3</v>
      </c>
      <c r="AH88" s="49">
        <f t="shared" si="58"/>
        <v>247.85714285714286</v>
      </c>
      <c r="AI88" s="49">
        <f t="shared" si="59"/>
        <v>0.7142857142857143</v>
      </c>
      <c r="AJ88" s="49">
        <f t="shared" si="60"/>
        <v>1.837142857142857</v>
      </c>
      <c r="AK88" s="49">
        <f t="shared" si="61"/>
        <v>0.4838709677419355</v>
      </c>
      <c r="AL88" s="49">
        <f t="shared" si="62"/>
        <v>2.5641025641025643</v>
      </c>
      <c r="AM88" s="49">
        <f t="shared" si="63"/>
        <v>31.055</v>
      </c>
      <c r="AN88" s="49">
        <f t="shared" si="64"/>
        <v>28.691666666666666</v>
      </c>
      <c r="AO88" s="49">
        <f t="shared" si="65"/>
        <v>139.47826086956522</v>
      </c>
      <c r="AP88" s="49">
        <f t="shared" si="66"/>
        <v>32.037499999999994</v>
      </c>
      <c r="AQ88" s="49">
        <f t="shared" si="67"/>
        <v>61.57142857142857</v>
      </c>
      <c r="AR88" s="100">
        <f t="shared" si="77"/>
        <v>0.5116818355403073</v>
      </c>
      <c r="AS88" s="49">
        <f t="shared" si="68"/>
        <v>4.838709677419355</v>
      </c>
      <c r="AT88" s="49"/>
      <c r="AU88" s="49">
        <f t="shared" si="69"/>
        <v>0.06349206349206349</v>
      </c>
      <c r="AV88" s="49">
        <f t="shared" si="70"/>
        <v>0.08566153846153847</v>
      </c>
      <c r="AW88" s="100">
        <f t="shared" si="71"/>
        <v>8.857142857142858</v>
      </c>
      <c r="AX88" s="100">
        <f t="shared" si="78"/>
        <v>6.305714285714286</v>
      </c>
      <c r="AY88" s="100"/>
      <c r="AZ88" s="100">
        <f t="shared" si="79"/>
        <v>2.551428571428571</v>
      </c>
      <c r="BA88" s="79"/>
      <c r="BB88" s="79"/>
      <c r="BC88" s="107">
        <f t="shared" si="80"/>
        <v>202.50331581462018</v>
      </c>
      <c r="BD88" s="107">
        <f t="shared" si="81"/>
        <v>95.44607142857143</v>
      </c>
      <c r="BE88" s="106">
        <f t="shared" si="82"/>
        <v>35.93135242754056</v>
      </c>
      <c r="BF88" s="104">
        <f>(('[2]setup'!$B$13*'[2]setup'!$B$14*'[2]setup'!$B$15)/10^(-R88))*10^6</f>
        <v>23.173615860913426</v>
      </c>
      <c r="BG88" s="110">
        <f t="shared" si="83"/>
        <v>35.55098093794098</v>
      </c>
      <c r="BH88" s="104">
        <f t="shared" si="84"/>
        <v>107.05724438604877</v>
      </c>
      <c r="BI88" s="104">
        <f t="shared" si="85"/>
        <v>203.0149976501605</v>
      </c>
      <c r="BJ88" s="104">
        <f t="shared" si="86"/>
        <v>154.1706682274258</v>
      </c>
      <c r="BK88" s="105">
        <f t="shared" si="87"/>
        <v>13.674773119107888</v>
      </c>
      <c r="BL88" s="106"/>
      <c r="BM88" s="107">
        <f>(3*('[2]setup'!$D$19*(10^-R88)^3)+2*('[2]setup'!$D$20*'[2]setup'!$D$19*((10^-R88)^2))+('[2]setup'!$D$21*'[2]setup'!$D$19*10^-R88)+('[2]setup'!$D$19*'[2]setup'!$D$22*(AP88/(10^6*2))*(10^-R88)^3))*10^6</f>
        <v>0.0006581340457822338</v>
      </c>
      <c r="BN88" s="108">
        <f t="shared" si="88"/>
        <v>84.39596849472143</v>
      </c>
      <c r="BO88" s="104">
        <f>(BN88/((('[2]setup'!$C$26)/10^-R88)+2*(('[2]setup'!$C$26*'[2]setup'!$C$27)/(10^-R88^2))+3*(('[2]setup'!$C$26*'[2]setup'!$C$27*'[2]setup'!$C$28)/(10^-R88^3))))/(10^-R88^3/(10^-R88^3+'[2]setup'!$C$26*10^-R88^2+'[2]setup'!$C$26*'[2]setup'!$C$27*10^-R88+'[2]setup'!$C$26*'[2]setup'!$C$27*'[2]setup'!$C$28))</f>
        <v>35.30929612071323</v>
      </c>
      <c r="BQ88" s="111">
        <f t="shared" si="72"/>
        <v>202.50331581462018</v>
      </c>
      <c r="BR88" s="111">
        <f t="shared" si="73"/>
        <v>95.44607142857143</v>
      </c>
      <c r="BS88" s="111">
        <f t="shared" si="74"/>
        <v>2.121651659242641</v>
      </c>
      <c r="BT88" s="111">
        <f t="shared" si="75"/>
        <v>106.34295867176303</v>
      </c>
      <c r="BU88" s="111">
        <f t="shared" si="76"/>
        <v>2.2653081811762332</v>
      </c>
    </row>
    <row r="89" spans="1:73" ht="12.75">
      <c r="A89" s="82">
        <v>40423</v>
      </c>
      <c r="B89" s="86" t="s">
        <v>46</v>
      </c>
      <c r="C89" s="78">
        <v>1038480</v>
      </c>
      <c r="E89" s="77">
        <v>0.006</v>
      </c>
      <c r="F89" s="77">
        <v>0.002</v>
      </c>
      <c r="G89" s="77">
        <v>0.02751</v>
      </c>
      <c r="H89" s="77">
        <v>2.087</v>
      </c>
      <c r="I89" s="95">
        <v>0.023</v>
      </c>
      <c r="J89" s="98">
        <v>0.02908</v>
      </c>
      <c r="K89" s="95">
        <v>0.005</v>
      </c>
      <c r="L89" s="77">
        <v>0.2491</v>
      </c>
      <c r="M89" s="77">
        <v>0.9963</v>
      </c>
      <c r="N89" s="77">
        <v>0.4754</v>
      </c>
      <c r="O89" s="77">
        <v>4.075</v>
      </c>
      <c r="P89" s="98">
        <v>0.6547</v>
      </c>
      <c r="Q89" s="98">
        <v>2.485</v>
      </c>
      <c r="R89" s="77">
        <v>6.681</v>
      </c>
      <c r="S89" s="77">
        <v>19.2</v>
      </c>
      <c r="T89" s="77">
        <v>22.62</v>
      </c>
      <c r="U89" s="77">
        <v>0.05</v>
      </c>
      <c r="V89" s="77"/>
      <c r="W89" s="77">
        <v>0.002</v>
      </c>
      <c r="X89" s="77">
        <v>0.002876</v>
      </c>
      <c r="Y89" s="119">
        <v>1.16</v>
      </c>
      <c r="Z89" s="119">
        <v>0.01</v>
      </c>
      <c r="AA89" s="77">
        <v>-0.04208</v>
      </c>
      <c r="AD89" s="89">
        <v>0.08971</v>
      </c>
      <c r="AE89" s="49">
        <f t="shared" si="55"/>
        <v>0.2142857142857143</v>
      </c>
      <c r="AF89" s="49">
        <f t="shared" si="56"/>
        <v>0.07272727272727272</v>
      </c>
      <c r="AG89" s="49">
        <f t="shared" si="57"/>
        <v>3.0566666666666666</v>
      </c>
      <c r="AH89" s="49">
        <f t="shared" si="58"/>
        <v>298.14285714285717</v>
      </c>
      <c r="AI89" s="49">
        <f t="shared" si="59"/>
        <v>1.6428571428571428</v>
      </c>
      <c r="AJ89" s="49">
        <f t="shared" si="60"/>
        <v>2.0771428571428574</v>
      </c>
      <c r="AK89" s="49">
        <f t="shared" si="61"/>
        <v>0.4838709677419355</v>
      </c>
      <c r="AL89" s="49">
        <f t="shared" si="62"/>
        <v>6.387179487179487</v>
      </c>
      <c r="AM89" s="49">
        <f t="shared" si="63"/>
        <v>49.815</v>
      </c>
      <c r="AN89" s="49">
        <f t="shared" si="64"/>
        <v>39.61666666666667</v>
      </c>
      <c r="AO89" s="49">
        <f t="shared" si="65"/>
        <v>177.17391304347825</v>
      </c>
      <c r="AP89" s="49">
        <f t="shared" si="66"/>
        <v>40.918749999999996</v>
      </c>
      <c r="AQ89" s="49">
        <f t="shared" si="67"/>
        <v>71</v>
      </c>
      <c r="AR89" s="100">
        <f t="shared" si="77"/>
        <v>0.20844908830972886</v>
      </c>
      <c r="AS89" s="49">
        <f t="shared" si="68"/>
        <v>4.838709677419355</v>
      </c>
      <c r="AT89" s="49"/>
      <c r="AU89" s="49">
        <f t="shared" si="69"/>
        <v>0.06349206349206349</v>
      </c>
      <c r="AV89" s="49">
        <f t="shared" si="70"/>
        <v>0.0884923076923077</v>
      </c>
      <c r="AW89" s="100">
        <f t="shared" si="71"/>
        <v>0.7142857142857143</v>
      </c>
      <c r="AX89" s="100">
        <f t="shared" si="78"/>
        <v>-3.005714285714286</v>
      </c>
      <c r="AY89" s="100"/>
      <c r="AZ89" s="100">
        <f t="shared" si="79"/>
        <v>3.72</v>
      </c>
      <c r="BA89" s="79"/>
      <c r="BB89" s="79"/>
      <c r="BC89" s="107">
        <f t="shared" si="80"/>
        <v>274.63561634018157</v>
      </c>
      <c r="BD89" s="107">
        <f t="shared" si="81"/>
        <v>113.99589285714285</v>
      </c>
      <c r="BE89" s="106">
        <f t="shared" si="82"/>
        <v>41.33471416530852</v>
      </c>
      <c r="BF89" s="104">
        <f>(('[2]setup'!$B$13*'[2]setup'!$B$14*'[2]setup'!$B$15)/10^(-R89))*10^6</f>
        <v>56.88448146244411</v>
      </c>
      <c r="BG89" s="110">
        <f t="shared" si="83"/>
        <v>11.201541484502561</v>
      </c>
      <c r="BH89" s="104">
        <f t="shared" si="84"/>
        <v>160.63972348303872</v>
      </c>
      <c r="BI89" s="104">
        <f t="shared" si="85"/>
        <v>274.8440654284913</v>
      </c>
      <c r="BJ89" s="104">
        <f t="shared" si="86"/>
        <v>182.0819158040895</v>
      </c>
      <c r="BK89" s="105">
        <f t="shared" si="87"/>
        <v>20.30135151741016</v>
      </c>
      <c r="BL89" s="106"/>
      <c r="BM89" s="107">
        <f>(3*('[2]setup'!$D$19*(10^-R89)^3)+2*('[2]setup'!$D$20*'[2]setup'!$D$19*((10^-R89)^2))+('[2]setup'!$D$21*'[2]setup'!$D$19*10^-R89)+('[2]setup'!$D$19*'[2]setup'!$D$22*(AP89/(10^6*2))*(10^-R89)^3))*10^6</f>
        <v>0.0002136188025103087</v>
      </c>
      <c r="BN89" s="108">
        <f t="shared" si="88"/>
        <v>103.96390472770685</v>
      </c>
      <c r="BO89" s="104">
        <f>(BN89/((('[2]setup'!$C$26)/10^-R89)+2*(('[2]setup'!$C$26*'[2]setup'!$C$27)/(10^-R89^2))+3*(('[2]setup'!$C$26*'[2]setup'!$C$27*'[2]setup'!$C$28)/(10^-R89^3))))/(10^-R89^3/(10^-R89^3+'[2]setup'!$C$26*10^-R89^2+'[2]setup'!$C$26*'[2]setup'!$C$27*10^-R89+'[2]setup'!$C$26*'[2]setup'!$C$27*'[2]setup'!$C$28))</f>
        <v>39.67427044067426</v>
      </c>
      <c r="BQ89" s="111">
        <f t="shared" si="72"/>
        <v>274.6356163401815</v>
      </c>
      <c r="BR89" s="111">
        <f t="shared" si="73"/>
        <v>113.99589285714285</v>
      </c>
      <c r="BS89" s="111">
        <f t="shared" si="74"/>
        <v>2.4091711504409097</v>
      </c>
      <c r="BT89" s="111">
        <f t="shared" si="75"/>
        <v>158.99686634018155</v>
      </c>
      <c r="BU89" s="111">
        <f t="shared" si="76"/>
        <v>2.4954072259644824</v>
      </c>
    </row>
    <row r="90" spans="1:73" ht="12.75">
      <c r="A90" s="82">
        <v>40449</v>
      </c>
      <c r="B90" s="86" t="s">
        <v>46</v>
      </c>
      <c r="C90" s="78">
        <v>1040549</v>
      </c>
      <c r="E90" s="77">
        <v>0.006</v>
      </c>
      <c r="F90" s="77">
        <v>0.002</v>
      </c>
      <c r="G90" s="77">
        <v>0.0282</v>
      </c>
      <c r="H90" s="77">
        <v>1.713</v>
      </c>
      <c r="I90" s="77">
        <v>0.01</v>
      </c>
      <c r="J90" s="95">
        <v>0.025</v>
      </c>
      <c r="K90" s="88">
        <v>0.015</v>
      </c>
      <c r="L90" s="77">
        <v>0.1</v>
      </c>
      <c r="M90" s="77">
        <v>0.7973</v>
      </c>
      <c r="N90" s="77">
        <v>0.5067</v>
      </c>
      <c r="O90" s="77">
        <v>4.405</v>
      </c>
      <c r="P90" s="98">
        <v>0.6428</v>
      </c>
      <c r="Q90" s="98">
        <v>2.697</v>
      </c>
      <c r="R90" s="77">
        <v>6.541</v>
      </c>
      <c r="S90" s="77">
        <v>16</v>
      </c>
      <c r="T90" s="77">
        <v>21.24</v>
      </c>
      <c r="U90" s="77">
        <v>0.05</v>
      </c>
      <c r="V90" s="77"/>
      <c r="W90" s="77">
        <v>0.002</v>
      </c>
      <c r="X90" s="77">
        <v>0.002</v>
      </c>
      <c r="Y90" s="77">
        <v>0.9761</v>
      </c>
      <c r="Z90" s="77">
        <v>0.01</v>
      </c>
      <c r="AA90" s="77">
        <v>-0.025</v>
      </c>
      <c r="AC90" s="8"/>
      <c r="AD90" s="89">
        <v>0.08057</v>
      </c>
      <c r="AE90" s="49">
        <f t="shared" si="55"/>
        <v>0.2142857142857143</v>
      </c>
      <c r="AF90" s="49">
        <f t="shared" si="56"/>
        <v>0.07272727272727272</v>
      </c>
      <c r="AG90" s="49">
        <f t="shared" si="57"/>
        <v>3.1333333333333333</v>
      </c>
      <c r="AH90" s="49">
        <f t="shared" si="58"/>
        <v>244.71428571428572</v>
      </c>
      <c r="AI90" s="49">
        <f t="shared" si="59"/>
        <v>0.7142857142857143</v>
      </c>
      <c r="AJ90" s="49">
        <f t="shared" si="60"/>
        <v>1.7857142857142858</v>
      </c>
      <c r="AK90" s="49">
        <f t="shared" si="61"/>
        <v>1.4516129032258063</v>
      </c>
      <c r="AL90" s="49">
        <f t="shared" si="62"/>
        <v>2.5641025641025643</v>
      </c>
      <c r="AM90" s="49">
        <f t="shared" si="63"/>
        <v>39.864999999999995</v>
      </c>
      <c r="AN90" s="49">
        <f t="shared" si="64"/>
        <v>42.22500000000001</v>
      </c>
      <c r="AO90" s="49">
        <f t="shared" si="65"/>
        <v>191.5217391304348</v>
      </c>
      <c r="AP90" s="49">
        <f t="shared" si="66"/>
        <v>40.175000000000004</v>
      </c>
      <c r="AQ90" s="49">
        <f t="shared" si="67"/>
        <v>77.05714285714286</v>
      </c>
      <c r="AR90" s="100">
        <f t="shared" si="77"/>
        <v>0.2877398414735667</v>
      </c>
      <c r="AS90" s="49">
        <f t="shared" si="68"/>
        <v>4.838709677419355</v>
      </c>
      <c r="AT90" s="49"/>
      <c r="AU90" s="49">
        <f t="shared" si="69"/>
        <v>0.06349206349206349</v>
      </c>
      <c r="AV90" s="49">
        <f t="shared" si="70"/>
        <v>0.061538461538461535</v>
      </c>
      <c r="AW90" s="100">
        <f t="shared" si="71"/>
        <v>0.7142857142857143</v>
      </c>
      <c r="AX90" s="100">
        <f t="shared" si="78"/>
        <v>-1.7857142857142856</v>
      </c>
      <c r="AY90" s="100"/>
      <c r="AZ90" s="100">
        <f t="shared" si="79"/>
        <v>2.5</v>
      </c>
      <c r="BA90" s="79"/>
      <c r="BB90" s="79"/>
      <c r="BC90" s="107">
        <f t="shared" si="80"/>
        <v>276.8901274088231</v>
      </c>
      <c r="BD90" s="107">
        <f t="shared" si="81"/>
        <v>119.01785714285715</v>
      </c>
      <c r="BE90" s="106">
        <f t="shared" si="82"/>
        <v>39.87600059259677</v>
      </c>
      <c r="BF90" s="104">
        <f>(('[2]setup'!$B$13*'[2]setup'!$B$14*'[2]setup'!$B$15)/10^(-R90))*10^6</f>
        <v>41.209163941613724</v>
      </c>
      <c r="BG90" s="110">
        <f t="shared" si="83"/>
        <v>9.355165542762403</v>
      </c>
      <c r="BH90" s="104">
        <f t="shared" si="84"/>
        <v>157.87227026596588</v>
      </c>
      <c r="BI90" s="104">
        <f t="shared" si="85"/>
        <v>277.17786725029663</v>
      </c>
      <c r="BJ90" s="104">
        <f t="shared" si="86"/>
        <v>169.58218662723328</v>
      </c>
      <c r="BK90" s="105">
        <f t="shared" si="87"/>
        <v>24.083549925562163</v>
      </c>
      <c r="BL90" s="106"/>
      <c r="BM90" s="107">
        <f>(3*('[2]setup'!$D$19*(10^-R90)^3)+2*('[2]setup'!$D$20*'[2]setup'!$D$19*((10^-R90)^2))+('[2]setup'!$D$21*'[2]setup'!$D$19*10^-R90)+('[2]setup'!$D$19*'[2]setup'!$D$22*(AP90/(10^6*2))*(10^-R90)^3))*10^6</f>
        <v>0.00031300997281505903</v>
      </c>
      <c r="BN90" s="108">
        <f t="shared" si="88"/>
        <v>116.95115917579858</v>
      </c>
      <c r="BO90" s="104">
        <f>(BN90/((('[2]setup'!$C$26)/10^-R90)+2*(('[2]setup'!$C$26*'[2]setup'!$C$27)/(10^-R90^2))+3*(('[2]setup'!$C$26*'[2]setup'!$C$27*'[2]setup'!$C$28)/(10^-R90^3))))/(10^-R90^3/(10^-R90^3+'[2]setup'!$C$26*10^-R90^2+'[2]setup'!$C$26*'[2]setup'!$C$27*10^-R90+'[2]setup'!$C$26*'[2]setup'!$C$27*'[2]setup'!$C$28))</f>
        <v>46.044008968078465</v>
      </c>
      <c r="BQ90" s="111">
        <f t="shared" si="72"/>
        <v>276.8901274088231</v>
      </c>
      <c r="BR90" s="111">
        <f t="shared" si="73"/>
        <v>119.01785714285715</v>
      </c>
      <c r="BS90" s="111">
        <f t="shared" si="74"/>
        <v>2.32645868490534</v>
      </c>
      <c r="BT90" s="111">
        <f t="shared" si="75"/>
        <v>157.15798455168022</v>
      </c>
      <c r="BU90" s="111">
        <f t="shared" si="76"/>
        <v>2.485450822975609</v>
      </c>
    </row>
    <row r="91" spans="1:73" ht="15">
      <c r="A91" s="82">
        <v>40469</v>
      </c>
      <c r="B91" s="86" t="s">
        <v>46</v>
      </c>
      <c r="C91" s="78">
        <v>1042089</v>
      </c>
      <c r="E91" s="77">
        <v>0.006</v>
      </c>
      <c r="F91" s="77">
        <v>0.002</v>
      </c>
      <c r="G91" s="77">
        <v>0.02477</v>
      </c>
      <c r="H91" s="77">
        <v>1.653</v>
      </c>
      <c r="I91" s="95">
        <v>0.01</v>
      </c>
      <c r="J91" s="98">
        <v>0.02569</v>
      </c>
      <c r="K91" s="95">
        <v>0.006</v>
      </c>
      <c r="L91" s="77">
        <v>0.2377</v>
      </c>
      <c r="M91" s="77">
        <v>0.5957</v>
      </c>
      <c r="N91" s="77">
        <v>0.3056</v>
      </c>
      <c r="O91" s="77">
        <v>2.578</v>
      </c>
      <c r="P91" s="98">
        <v>0.6381</v>
      </c>
      <c r="Q91" s="98">
        <v>2.564</v>
      </c>
      <c r="R91" s="77">
        <v>6.62</v>
      </c>
      <c r="S91" s="77">
        <v>10.8</v>
      </c>
      <c r="T91" s="77">
        <v>21.67</v>
      </c>
      <c r="U91" s="77">
        <v>0.05</v>
      </c>
      <c r="V91" s="77"/>
      <c r="W91" s="77">
        <v>0.002</v>
      </c>
      <c r="X91" s="77">
        <v>0.002</v>
      </c>
      <c r="Y91" s="120">
        <v>0.77</v>
      </c>
      <c r="Z91" s="77">
        <v>0.01</v>
      </c>
      <c r="AA91" s="77">
        <v>-0.025689999999999998</v>
      </c>
      <c r="AD91" s="89">
        <v>0.08003</v>
      </c>
      <c r="AE91" s="49">
        <f t="shared" si="55"/>
        <v>0.2142857142857143</v>
      </c>
      <c r="AF91" s="49">
        <f t="shared" si="56"/>
        <v>0.07272727272727272</v>
      </c>
      <c r="AG91" s="49">
        <f t="shared" si="57"/>
        <v>2.752222222222222</v>
      </c>
      <c r="AH91" s="49">
        <f t="shared" si="58"/>
        <v>236.14285714285717</v>
      </c>
      <c r="AI91" s="49">
        <f t="shared" si="59"/>
        <v>0.7142857142857143</v>
      </c>
      <c r="AJ91" s="49">
        <f t="shared" si="60"/>
        <v>1.835</v>
      </c>
      <c r="AK91" s="49">
        <f t="shared" si="61"/>
        <v>0.5806451612903225</v>
      </c>
      <c r="AL91" s="49">
        <f t="shared" si="62"/>
        <v>6.094871794871795</v>
      </c>
      <c r="AM91" s="49">
        <f t="shared" si="63"/>
        <v>29.785</v>
      </c>
      <c r="AN91" s="49">
        <f t="shared" si="64"/>
        <v>25.466666666666665</v>
      </c>
      <c r="AO91" s="49">
        <f t="shared" si="65"/>
        <v>112.08695652173913</v>
      </c>
      <c r="AP91" s="49">
        <f t="shared" si="66"/>
        <v>39.88125</v>
      </c>
      <c r="AQ91" s="49">
        <f t="shared" si="67"/>
        <v>73.25714285714285</v>
      </c>
      <c r="AR91" s="100">
        <f t="shared" si="77"/>
        <v>0.23988329190194896</v>
      </c>
      <c r="AS91" s="49">
        <f t="shared" si="68"/>
        <v>4.838709677419355</v>
      </c>
      <c r="AT91" s="49"/>
      <c r="AU91" s="49">
        <f t="shared" si="69"/>
        <v>0.06349206349206349</v>
      </c>
      <c r="AV91" s="49">
        <f t="shared" si="70"/>
        <v>0.061538461538461535</v>
      </c>
      <c r="AW91" s="100">
        <f t="shared" si="71"/>
        <v>0.7142857142857143</v>
      </c>
      <c r="AX91" s="100">
        <f t="shared" si="78"/>
        <v>-1.835</v>
      </c>
      <c r="AY91" s="100"/>
      <c r="AZ91" s="100">
        <f t="shared" si="79"/>
        <v>2.5492857142857144</v>
      </c>
      <c r="BA91" s="79"/>
      <c r="BB91" s="79"/>
      <c r="BC91" s="107">
        <f t="shared" si="80"/>
        <v>174.1477806975633</v>
      </c>
      <c r="BD91" s="107">
        <f t="shared" si="81"/>
        <v>114.97339285714285</v>
      </c>
      <c r="BE91" s="106">
        <f t="shared" si="82"/>
        <v>20.46698521345886</v>
      </c>
      <c r="BF91" s="104">
        <f>(('[2]setup'!$B$13*'[2]setup'!$B$14*'[2]setup'!$B$15)/10^(-R91))*10^6</f>
        <v>49.43036343133419</v>
      </c>
      <c r="BG91" s="110">
        <f t="shared" si="83"/>
        <v>7.412388291855554</v>
      </c>
      <c r="BH91" s="104">
        <f t="shared" si="84"/>
        <v>59.174387840420465</v>
      </c>
      <c r="BI91" s="104">
        <f t="shared" si="85"/>
        <v>174.38766398946527</v>
      </c>
      <c r="BJ91" s="104">
        <f t="shared" si="86"/>
        <v>171.8161445803326</v>
      </c>
      <c r="BK91" s="105">
        <f t="shared" si="87"/>
        <v>0.7427761756162832</v>
      </c>
      <c r="BL91" s="106"/>
      <c r="BM91" s="107">
        <f>(3*('[2]setup'!$D$19*(10^-R91)^3)+2*('[2]setup'!$D$20*'[2]setup'!$D$19*((10^-R91)^2))+('[2]setup'!$D$21*'[2]setup'!$D$19*10^-R91)+('[2]setup'!$D$19*'[2]setup'!$D$22*(AP91/(10^6*2))*(10^-R91)^3))*10^6</f>
        <v>0.00025171676046679617</v>
      </c>
      <c r="BN91" s="108">
        <f t="shared" si="88"/>
        <v>9.984159417748685</v>
      </c>
      <c r="BO91" s="104">
        <f>(BN91/((('[2]setup'!$C$26)/10^-R91)+2*(('[2]setup'!$C$26*'[2]setup'!$C$27)/(10^-R91^2))+3*(('[2]setup'!$C$26*'[2]setup'!$C$27*'[2]setup'!$C$28)/(10^-R91^3))))/(10^-R91^3/(10^-R91^3+'[2]setup'!$C$26*10^-R91^2+'[2]setup'!$C$26*'[2]setup'!$C$27*10^-R91+'[2]setup'!$C$26*'[2]setup'!$C$27*'[2]setup'!$C$28))</f>
        <v>3.860792387062315</v>
      </c>
      <c r="BQ91" s="111">
        <f t="shared" si="72"/>
        <v>174.1477806975633</v>
      </c>
      <c r="BR91" s="111">
        <f t="shared" si="73"/>
        <v>114.97339285714285</v>
      </c>
      <c r="BS91" s="111">
        <f t="shared" si="74"/>
        <v>1.514678973716519</v>
      </c>
      <c r="BT91" s="111">
        <f t="shared" si="75"/>
        <v>58.460102126134714</v>
      </c>
      <c r="BU91" s="111">
        <f t="shared" si="76"/>
        <v>1.5300481584480772</v>
      </c>
    </row>
    <row r="92" spans="1:73" ht="12.75">
      <c r="A92" s="82">
        <v>40491</v>
      </c>
      <c r="B92" s="86" t="s">
        <v>46</v>
      </c>
      <c r="C92" s="78">
        <v>1043811</v>
      </c>
      <c r="E92" s="88">
        <v>0.006</v>
      </c>
      <c r="F92" s="88">
        <v>0.002003</v>
      </c>
      <c r="G92" s="88">
        <v>0.02297</v>
      </c>
      <c r="H92" s="88">
        <v>1.862</v>
      </c>
      <c r="I92" s="88">
        <v>0.01</v>
      </c>
      <c r="J92" s="98">
        <v>0.03639</v>
      </c>
      <c r="K92" s="88">
        <v>0.011</v>
      </c>
      <c r="L92" s="88">
        <v>0.2184</v>
      </c>
      <c r="M92" s="88">
        <v>0.3763</v>
      </c>
      <c r="N92" s="88">
        <v>0.2844</v>
      </c>
      <c r="O92" s="88">
        <v>2.65</v>
      </c>
      <c r="P92" s="98">
        <v>0.5931</v>
      </c>
      <c r="Q92" s="98">
        <v>2.646</v>
      </c>
      <c r="R92" s="88">
        <v>6.606</v>
      </c>
      <c r="S92" s="88">
        <v>12.3</v>
      </c>
      <c r="T92" s="88">
        <v>22.43</v>
      </c>
      <c r="U92" s="88">
        <v>0.05</v>
      </c>
      <c r="V92" s="88"/>
      <c r="W92" s="88">
        <v>0.002</v>
      </c>
      <c r="X92" s="88">
        <v>0.00226</v>
      </c>
      <c r="Y92" s="88">
        <v>1.136</v>
      </c>
      <c r="Z92" s="88">
        <v>0.01</v>
      </c>
      <c r="AA92" s="77">
        <v>-0.03639</v>
      </c>
      <c r="AD92" s="89">
        <v>0.08583</v>
      </c>
      <c r="AE92" s="49">
        <f t="shared" si="55"/>
        <v>0.2142857142857143</v>
      </c>
      <c r="AF92" s="49">
        <f t="shared" si="56"/>
        <v>0.07283636363636363</v>
      </c>
      <c r="AG92" s="49">
        <f t="shared" si="57"/>
        <v>2.5522222222222224</v>
      </c>
      <c r="AH92" s="49">
        <f t="shared" si="58"/>
        <v>266</v>
      </c>
      <c r="AI92" s="49">
        <f t="shared" si="59"/>
        <v>0.7142857142857143</v>
      </c>
      <c r="AJ92" s="49">
        <f t="shared" si="60"/>
        <v>2.599285714285714</v>
      </c>
      <c r="AK92" s="49">
        <f t="shared" si="61"/>
        <v>1.064516129032258</v>
      </c>
      <c r="AL92" s="49">
        <f t="shared" si="62"/>
        <v>5.6</v>
      </c>
      <c r="AM92" s="49">
        <f t="shared" si="63"/>
        <v>18.815</v>
      </c>
      <c r="AN92" s="49">
        <f t="shared" si="64"/>
        <v>23.7</v>
      </c>
      <c r="AO92" s="49">
        <f t="shared" si="65"/>
        <v>115.21739130434783</v>
      </c>
      <c r="AP92" s="49">
        <f t="shared" si="66"/>
        <v>37.068749999999994</v>
      </c>
      <c r="AQ92" s="49">
        <f t="shared" si="67"/>
        <v>75.6</v>
      </c>
      <c r="AR92" s="100">
        <f t="shared" si="77"/>
        <v>0.2477422057633286</v>
      </c>
      <c r="AS92" s="49">
        <f t="shared" si="68"/>
        <v>4.838709677419355</v>
      </c>
      <c r="AT92" s="49"/>
      <c r="AU92" s="49">
        <f t="shared" si="69"/>
        <v>0.06349206349206349</v>
      </c>
      <c r="AV92" s="49">
        <f t="shared" si="70"/>
        <v>0.06953846153846154</v>
      </c>
      <c r="AW92" s="100">
        <f t="shared" si="71"/>
        <v>0.7142857142857143</v>
      </c>
      <c r="AX92" s="100">
        <f t="shared" si="78"/>
        <v>-2.599285714285714</v>
      </c>
      <c r="AY92" s="100"/>
      <c r="AZ92" s="100">
        <f t="shared" si="79"/>
        <v>3.3135714285714286</v>
      </c>
      <c r="BA92" s="79"/>
      <c r="BB92" s="79"/>
      <c r="BC92" s="107">
        <f t="shared" si="80"/>
        <v>164.04667701863355</v>
      </c>
      <c r="BD92" s="107">
        <f t="shared" si="81"/>
        <v>115.2680357142857</v>
      </c>
      <c r="BE92" s="106">
        <f t="shared" si="82"/>
        <v>17.463684897612243</v>
      </c>
      <c r="BF92" s="104">
        <f>(('[2]setup'!$B$13*'[2]setup'!$B$14*'[2]setup'!$B$15)/10^(-R92))*10^6</f>
        <v>47.86232633750667</v>
      </c>
      <c r="BG92" s="110">
        <f t="shared" si="83"/>
        <v>10.927495689802324</v>
      </c>
      <c r="BH92" s="104">
        <f t="shared" si="84"/>
        <v>48.77864130434784</v>
      </c>
      <c r="BI92" s="104">
        <f t="shared" si="85"/>
        <v>164.29441922439688</v>
      </c>
      <c r="BJ92" s="104">
        <f t="shared" si="86"/>
        <v>174.05785774159472</v>
      </c>
      <c r="BK92" s="105">
        <f t="shared" si="87"/>
        <v>2.8855838077245104</v>
      </c>
      <c r="BL92" s="106"/>
      <c r="BM92" s="107">
        <f>(3*('[2]setup'!$D$19*(10^-R92)^3)+2*('[2]setup'!$D$20*'[2]setup'!$D$19*((10^-R92)^2))+('[2]setup'!$D$21*'[2]setup'!$D$19*10^-R92)+('[2]setup'!$D$19*'[2]setup'!$D$22*(AP92/(10^6*2))*(10^-R92)^3))*10^6</f>
        <v>0.0002615040762230016</v>
      </c>
      <c r="BN92" s="108">
        <f t="shared" si="88"/>
        <v>1.1643186766807503</v>
      </c>
      <c r="BO92" s="104">
        <f>(BN92/((('[2]setup'!$C$26)/10^-R92)+2*(('[2]setup'!$C$26*'[2]setup'!$C$27)/(10^-R92^2))+3*(('[2]setup'!$C$26*'[2]setup'!$C$27*'[2]setup'!$C$28)/(10^-R92^3))))/(10^-R92^3/(10^-R92^3+'[2]setup'!$C$26*10^-R92^2+'[2]setup'!$C$26*'[2]setup'!$C$27*10^-R92+'[2]setup'!$C$26*'[2]setup'!$C$27*'[2]setup'!$C$28))</f>
        <v>0.451638615233242</v>
      </c>
      <c r="BQ92" s="111">
        <f t="shared" si="72"/>
        <v>164.04667701863355</v>
      </c>
      <c r="BR92" s="111">
        <f t="shared" si="73"/>
        <v>115.2680357142857</v>
      </c>
      <c r="BS92" s="111">
        <f t="shared" si="74"/>
        <v>1.4231757833130358</v>
      </c>
      <c r="BT92" s="111">
        <f t="shared" si="75"/>
        <v>48.06435559006212</v>
      </c>
      <c r="BU92" s="111">
        <f t="shared" si="76"/>
        <v>1.5240395675178284</v>
      </c>
    </row>
    <row r="93" spans="1:73" ht="12.75">
      <c r="A93" s="82">
        <v>40526</v>
      </c>
      <c r="B93" s="86" t="s">
        <v>46</v>
      </c>
      <c r="C93" s="78">
        <v>1048825</v>
      </c>
      <c r="E93" s="77">
        <v>0.006</v>
      </c>
      <c r="F93" s="77">
        <v>0.002</v>
      </c>
      <c r="G93" s="77">
        <v>0.02401</v>
      </c>
      <c r="H93" s="77">
        <v>1.644</v>
      </c>
      <c r="I93" s="95">
        <v>0.01</v>
      </c>
      <c r="J93" s="98">
        <v>0.05046</v>
      </c>
      <c r="K93" s="95">
        <v>0.008</v>
      </c>
      <c r="L93" s="77">
        <v>0.2722</v>
      </c>
      <c r="M93" s="77">
        <v>0.6449</v>
      </c>
      <c r="N93" s="77">
        <v>0.2731</v>
      </c>
      <c r="O93" s="77">
        <v>2.628</v>
      </c>
      <c r="P93" s="98">
        <v>0.6659</v>
      </c>
      <c r="Q93" s="98">
        <v>3.027</v>
      </c>
      <c r="R93" s="77">
        <v>6.575</v>
      </c>
      <c r="S93" s="77">
        <v>16.4</v>
      </c>
      <c r="T93" s="77">
        <v>21.91</v>
      </c>
      <c r="U93" s="77">
        <v>0.05</v>
      </c>
      <c r="V93" s="77"/>
      <c r="W93" s="77">
        <v>0.002</v>
      </c>
      <c r="X93" s="77">
        <v>0.002219</v>
      </c>
      <c r="Y93" s="77">
        <v>1.228</v>
      </c>
      <c r="Z93" s="77">
        <v>0.2014</v>
      </c>
      <c r="AA93" s="77">
        <v>0.14094</v>
      </c>
      <c r="AD93" s="89">
        <v>0.09751</v>
      </c>
      <c r="AE93" s="49">
        <f t="shared" si="55"/>
        <v>0.2142857142857143</v>
      </c>
      <c r="AF93" s="49">
        <f t="shared" si="56"/>
        <v>0.07272727272727272</v>
      </c>
      <c r="AG93" s="49">
        <f t="shared" si="57"/>
        <v>2.667777777777778</v>
      </c>
      <c r="AH93" s="49">
        <f t="shared" si="58"/>
        <v>234.85714285714286</v>
      </c>
      <c r="AI93" s="49">
        <f t="shared" si="59"/>
        <v>0.7142857142857143</v>
      </c>
      <c r="AJ93" s="49">
        <f t="shared" si="60"/>
        <v>3.604285714285714</v>
      </c>
      <c r="AK93" s="49">
        <f t="shared" si="61"/>
        <v>0.7741935483870969</v>
      </c>
      <c r="AL93" s="49">
        <f t="shared" si="62"/>
        <v>6.97948717948718</v>
      </c>
      <c r="AM93" s="49">
        <f t="shared" si="63"/>
        <v>32.245000000000005</v>
      </c>
      <c r="AN93" s="49">
        <f t="shared" si="64"/>
        <v>22.758333333333336</v>
      </c>
      <c r="AO93" s="49">
        <f t="shared" si="65"/>
        <v>114.2608695652174</v>
      </c>
      <c r="AP93" s="49">
        <f t="shared" si="66"/>
        <v>41.618750000000006</v>
      </c>
      <c r="AQ93" s="49">
        <f t="shared" si="67"/>
        <v>86.4857142857143</v>
      </c>
      <c r="AR93" s="100">
        <f t="shared" si="77"/>
        <v>0.26607250597988086</v>
      </c>
      <c r="AS93" s="49">
        <f t="shared" si="68"/>
        <v>4.838709677419355</v>
      </c>
      <c r="AT93" s="49"/>
      <c r="AU93" s="49">
        <f t="shared" si="69"/>
        <v>0.06349206349206349</v>
      </c>
      <c r="AV93" s="49">
        <f t="shared" si="70"/>
        <v>0.06827692307692308</v>
      </c>
      <c r="AW93" s="100">
        <f t="shared" si="71"/>
        <v>14.385714285714284</v>
      </c>
      <c r="AX93" s="100">
        <f t="shared" si="78"/>
        <v>10.067142857142855</v>
      </c>
      <c r="AY93" s="100"/>
      <c r="AZ93" s="100">
        <f t="shared" si="79"/>
        <v>4.3185714285714285</v>
      </c>
      <c r="BA93" s="79"/>
      <c r="BB93" s="79"/>
      <c r="BC93" s="107">
        <f t="shared" si="80"/>
        <v>176.95797579232365</v>
      </c>
      <c r="BD93" s="107">
        <f t="shared" si="81"/>
        <v>131.70875</v>
      </c>
      <c r="BE93" s="106">
        <f t="shared" si="82"/>
        <v>14.659573582533842</v>
      </c>
      <c r="BF93" s="104">
        <f>(('[2]setup'!$B$13*'[2]setup'!$B$14*'[2]setup'!$B$15)/10^(-R93))*10^6</f>
        <v>44.5649889910638</v>
      </c>
      <c r="BG93" s="110">
        <f t="shared" si="83"/>
        <v>11.792352418407859</v>
      </c>
      <c r="BH93" s="104">
        <f t="shared" si="84"/>
        <v>45.24922579232367</v>
      </c>
      <c r="BI93" s="104">
        <f t="shared" si="85"/>
        <v>177.22404829830356</v>
      </c>
      <c r="BJ93" s="104">
        <f t="shared" si="86"/>
        <v>188.06609140947165</v>
      </c>
      <c r="BK93" s="105">
        <f t="shared" si="87"/>
        <v>2.9680634467279936</v>
      </c>
      <c r="BL93" s="106"/>
      <c r="BM93" s="107">
        <f>(3*('[2]setup'!$D$19*(10^-R93)^3)+2*('[2]setup'!$D$20*'[2]setup'!$D$19*((10^-R93)^2))+('[2]setup'!$D$21*'[2]setup'!$D$19*10^-R93)+('[2]setup'!$D$19*'[2]setup'!$D$22*(AP93/(10^6*2))*(10^-R93)^3))*10^6</f>
        <v>0.0002847583553664916</v>
      </c>
      <c r="BN93" s="108">
        <f t="shared" si="88"/>
        <v>0.9505940655951406</v>
      </c>
      <c r="BO93" s="104">
        <f>(BN93/((('[2]setup'!$C$26)/10^-R93)+2*(('[2]setup'!$C$26*'[2]setup'!$C$27)/(10^-R93^2))+3*(('[2]setup'!$C$26*'[2]setup'!$C$27*'[2]setup'!$C$28)/(10^-R93^3))))/(10^-R93^3/(10^-R93^3+'[2]setup'!$C$26*10^-R93^2+'[2]setup'!$C$26*'[2]setup'!$C$27*10^-R93+'[2]setup'!$C$26*'[2]setup'!$C$27*'[2]setup'!$C$28))</f>
        <v>0.3713286021453974</v>
      </c>
      <c r="BQ93" s="111">
        <f t="shared" si="72"/>
        <v>176.95797579232362</v>
      </c>
      <c r="BR93" s="111">
        <f t="shared" si="73"/>
        <v>131.70875</v>
      </c>
      <c r="BS93" s="111">
        <f t="shared" si="74"/>
        <v>1.3435551988180254</v>
      </c>
      <c r="BT93" s="111">
        <f t="shared" si="75"/>
        <v>44.53494007803792</v>
      </c>
      <c r="BU93" s="111">
        <f t="shared" si="76"/>
        <v>1.3211531003576507</v>
      </c>
    </row>
    <row r="94" spans="1:73" ht="12.75">
      <c r="A94" s="82">
        <v>40555</v>
      </c>
      <c r="B94" s="86" t="s">
        <v>46</v>
      </c>
      <c r="C94" s="78">
        <v>1051853</v>
      </c>
      <c r="E94" s="77">
        <v>0.006</v>
      </c>
      <c r="F94" s="77">
        <v>0.002</v>
      </c>
      <c r="G94" s="77">
        <v>0.0258</v>
      </c>
      <c r="H94" s="77">
        <v>2.948</v>
      </c>
      <c r="I94" s="95">
        <v>0.01</v>
      </c>
      <c r="J94" s="98">
        <v>0.07753</v>
      </c>
      <c r="K94" s="95">
        <v>0.005</v>
      </c>
      <c r="L94" s="77">
        <v>0.3288</v>
      </c>
      <c r="M94" s="77">
        <v>0.879</v>
      </c>
      <c r="N94" s="77">
        <v>0.4163</v>
      </c>
      <c r="O94" s="77">
        <v>3.748</v>
      </c>
      <c r="P94" s="98">
        <v>0.6692</v>
      </c>
      <c r="Q94" s="98">
        <v>2.627</v>
      </c>
      <c r="R94" s="77">
        <v>6.581</v>
      </c>
      <c r="S94" s="77">
        <v>14.6</v>
      </c>
      <c r="T94" s="77">
        <v>22.28</v>
      </c>
      <c r="U94" s="77">
        <v>0.05</v>
      </c>
      <c r="V94" s="98"/>
      <c r="W94" s="77">
        <v>0.002</v>
      </c>
      <c r="X94" s="77">
        <v>0.002272</v>
      </c>
      <c r="Y94" s="77">
        <v>0.8798</v>
      </c>
      <c r="Z94" s="77">
        <v>0.1177</v>
      </c>
      <c r="AA94" s="77">
        <v>0.030170000000000002</v>
      </c>
      <c r="AC94" s="8"/>
      <c r="AD94" s="89">
        <v>0.09122</v>
      </c>
      <c r="AE94" s="49">
        <f t="shared" si="55"/>
        <v>0.2142857142857143</v>
      </c>
      <c r="AF94" s="49">
        <f t="shared" si="56"/>
        <v>0.07272727272727272</v>
      </c>
      <c r="AG94" s="49">
        <f t="shared" si="57"/>
        <v>2.8666666666666667</v>
      </c>
      <c r="AH94" s="49">
        <f t="shared" si="58"/>
        <v>421.14285714285717</v>
      </c>
      <c r="AI94" s="49">
        <f t="shared" si="59"/>
        <v>0.7142857142857143</v>
      </c>
      <c r="AJ94" s="49">
        <f t="shared" si="60"/>
        <v>5.537857142857143</v>
      </c>
      <c r="AK94" s="49">
        <f t="shared" si="61"/>
        <v>0.4838709677419355</v>
      </c>
      <c r="AL94" s="49">
        <f t="shared" si="62"/>
        <v>8.43076923076923</v>
      </c>
      <c r="AM94" s="49">
        <f t="shared" si="63"/>
        <v>43.95</v>
      </c>
      <c r="AN94" s="49">
        <f t="shared" si="64"/>
        <v>34.69166666666667</v>
      </c>
      <c r="AO94" s="49">
        <f t="shared" si="65"/>
        <v>162.95652173913044</v>
      </c>
      <c r="AP94" s="49">
        <f t="shared" si="66"/>
        <v>41.825</v>
      </c>
      <c r="AQ94" s="49">
        <f t="shared" si="67"/>
        <v>75.05714285714285</v>
      </c>
      <c r="AR94" s="100">
        <f t="shared" si="77"/>
        <v>0.2624218543384439</v>
      </c>
      <c r="AS94" s="49">
        <f t="shared" si="68"/>
        <v>4.838709677419355</v>
      </c>
      <c r="AT94" s="49"/>
      <c r="AU94" s="49">
        <f t="shared" si="69"/>
        <v>0.06349206349206349</v>
      </c>
      <c r="AV94" s="49">
        <f t="shared" si="70"/>
        <v>0.06990769230769231</v>
      </c>
      <c r="AW94" s="100">
        <f t="shared" si="71"/>
        <v>8.407142857142858</v>
      </c>
      <c r="AX94" s="100">
        <f t="shared" si="78"/>
        <v>2.155000000000001</v>
      </c>
      <c r="AY94" s="100"/>
      <c r="AZ94" s="100">
        <f t="shared" si="79"/>
        <v>6.252142857142857</v>
      </c>
      <c r="BA94" s="79"/>
      <c r="BB94" s="79"/>
      <c r="BC94" s="107">
        <f t="shared" si="80"/>
        <v>250.74324335085205</v>
      </c>
      <c r="BD94" s="107">
        <f t="shared" si="81"/>
        <v>122.41999999999999</v>
      </c>
      <c r="BE94" s="106">
        <f t="shared" si="82"/>
        <v>34.38796441968996</v>
      </c>
      <c r="BF94" s="104">
        <f>(('[2]setup'!$B$13*'[2]setup'!$B$14*'[2]setup'!$B$15)/10^(-R94))*10^6</f>
        <v>45.184949743269385</v>
      </c>
      <c r="BG94" s="110">
        <f t="shared" si="83"/>
        <v>8.451455791636898</v>
      </c>
      <c r="BH94" s="104">
        <f t="shared" si="84"/>
        <v>128.32324335085207</v>
      </c>
      <c r="BI94" s="104">
        <f t="shared" si="85"/>
        <v>251.00566520519052</v>
      </c>
      <c r="BJ94" s="104">
        <f t="shared" si="86"/>
        <v>176.05640553490628</v>
      </c>
      <c r="BK94" s="105">
        <f t="shared" si="87"/>
        <v>17.549968682631423</v>
      </c>
      <c r="BL94" s="106"/>
      <c r="BM94" s="107">
        <f>(3*('[2]setup'!$D$19*(10^-R94)^3)+2*('[2]setup'!$D$20*'[2]setup'!$D$19*((10^-R94)^2))+('[2]setup'!$D$21*'[2]setup'!$D$19*10^-R94)+('[2]setup'!$D$19*'[2]setup'!$D$22*(AP94/(10^6*2))*(10^-R94)^3))*10^6</f>
        <v>0.0002800806485919561</v>
      </c>
      <c r="BN94" s="108">
        <f t="shared" si="88"/>
        <v>83.40099554256972</v>
      </c>
      <c r="BO94" s="104">
        <f>(BN94/((('[2]setup'!$C$26)/10^-R94)+2*(('[2]setup'!$C$26*'[2]setup'!$C$27)/(10^-R94^2))+3*(('[2]setup'!$C$26*'[2]setup'!$C$27*'[2]setup'!$C$28)/(10^-R94^3))))/(10^-R94^3/(10^-R94^3+'[2]setup'!$C$26*10^-R94^2+'[2]setup'!$C$26*'[2]setup'!$C$27*10^-R94+'[2]setup'!$C$26*'[2]setup'!$C$27*'[2]setup'!$C$28))</f>
        <v>32.53423888820495</v>
      </c>
      <c r="BQ94" s="111">
        <f t="shared" si="72"/>
        <v>250.74324335085205</v>
      </c>
      <c r="BR94" s="111">
        <f t="shared" si="73"/>
        <v>122.41999999999999</v>
      </c>
      <c r="BS94" s="111">
        <f t="shared" si="74"/>
        <v>2.0482212330571157</v>
      </c>
      <c r="BT94" s="111">
        <f t="shared" si="75"/>
        <v>127.60895763656634</v>
      </c>
      <c r="BU94" s="111">
        <f t="shared" si="76"/>
        <v>2.1710994521772236</v>
      </c>
    </row>
    <row r="95" spans="1:73" ht="12.75">
      <c r="A95" s="82">
        <v>40575</v>
      </c>
      <c r="B95" s="86" t="s">
        <v>46</v>
      </c>
      <c r="C95" s="78">
        <v>1053124</v>
      </c>
      <c r="E95" s="77">
        <v>0.006</v>
      </c>
      <c r="F95" s="77">
        <v>0.002</v>
      </c>
      <c r="G95" s="77">
        <v>0.0576</v>
      </c>
      <c r="H95" s="77">
        <v>1.644</v>
      </c>
      <c r="I95" s="95">
        <v>0.01</v>
      </c>
      <c r="J95" s="98">
        <v>0.03143</v>
      </c>
      <c r="K95" s="95">
        <v>0.005</v>
      </c>
      <c r="L95" s="77">
        <v>0.2687</v>
      </c>
      <c r="M95" s="77">
        <v>0.5358</v>
      </c>
      <c r="N95" s="77">
        <v>0.2911</v>
      </c>
      <c r="O95" s="77">
        <v>2.33</v>
      </c>
      <c r="P95" s="98">
        <v>0.499</v>
      </c>
      <c r="Q95" s="98">
        <v>2.393</v>
      </c>
      <c r="R95" s="77">
        <v>6.377</v>
      </c>
      <c r="S95" s="77">
        <v>17.6</v>
      </c>
      <c r="T95" s="77">
        <v>19.58</v>
      </c>
      <c r="U95" s="77">
        <v>0.05</v>
      </c>
      <c r="V95" s="77"/>
      <c r="W95" s="77">
        <v>0.002271</v>
      </c>
      <c r="X95" s="77">
        <v>0.002</v>
      </c>
      <c r="Y95" s="119">
        <v>2.869</v>
      </c>
      <c r="Z95" s="77">
        <v>0.132</v>
      </c>
      <c r="AA95" s="77">
        <v>0.09057000000000001</v>
      </c>
      <c r="AB95" s="2"/>
      <c r="AC95" s="8"/>
      <c r="AD95" s="89">
        <v>0.07053</v>
      </c>
      <c r="AE95" s="49">
        <f t="shared" si="55"/>
        <v>0.2142857142857143</v>
      </c>
      <c r="AF95" s="49">
        <f t="shared" si="56"/>
        <v>0.07272727272727272</v>
      </c>
      <c r="AG95" s="49">
        <f t="shared" si="57"/>
        <v>6.4</v>
      </c>
      <c r="AH95" s="49">
        <f t="shared" si="58"/>
        <v>234.85714285714286</v>
      </c>
      <c r="AI95" s="49">
        <f t="shared" si="59"/>
        <v>0.7142857142857143</v>
      </c>
      <c r="AJ95" s="49">
        <f t="shared" si="60"/>
        <v>2.245</v>
      </c>
      <c r="AK95" s="49">
        <f t="shared" si="61"/>
        <v>0.4838709677419355</v>
      </c>
      <c r="AL95" s="49">
        <f t="shared" si="62"/>
        <v>6.889743589743589</v>
      </c>
      <c r="AM95" s="49">
        <f t="shared" si="63"/>
        <v>26.790000000000003</v>
      </c>
      <c r="AN95" s="49">
        <f t="shared" si="64"/>
        <v>24.258333333333336</v>
      </c>
      <c r="AO95" s="49">
        <f t="shared" si="65"/>
        <v>101.30434782608697</v>
      </c>
      <c r="AP95" s="49">
        <f t="shared" si="66"/>
        <v>31.1875</v>
      </c>
      <c r="AQ95" s="49">
        <f t="shared" si="67"/>
        <v>68.37142857142857</v>
      </c>
      <c r="AR95" s="100">
        <f t="shared" si="77"/>
        <v>0.41975898399100775</v>
      </c>
      <c r="AS95" s="49">
        <f t="shared" si="68"/>
        <v>4.838709677419355</v>
      </c>
      <c r="AT95" s="49"/>
      <c r="AU95" s="49">
        <f t="shared" si="69"/>
        <v>0.0720952380952381</v>
      </c>
      <c r="AV95" s="49">
        <f t="shared" si="70"/>
        <v>0.061538461538461535</v>
      </c>
      <c r="AW95" s="100">
        <f t="shared" si="71"/>
        <v>9.428571428571429</v>
      </c>
      <c r="AX95" s="100">
        <f t="shared" si="78"/>
        <v>6.469285714285714</v>
      </c>
      <c r="AY95" s="100"/>
      <c r="AZ95" s="100">
        <f t="shared" si="79"/>
        <v>2.9592857142857145</v>
      </c>
      <c r="BA95" s="79"/>
      <c r="BB95" s="79"/>
      <c r="BC95" s="107">
        <f t="shared" si="80"/>
        <v>159.9567104634496</v>
      </c>
      <c r="BD95" s="107">
        <f t="shared" si="81"/>
        <v>101.80392857142857</v>
      </c>
      <c r="BE95" s="106">
        <f t="shared" si="82"/>
        <v>22.216014640869094</v>
      </c>
      <c r="BF95" s="104">
        <f>(('[2]setup'!$B$13*'[2]setup'!$B$14*'[2]setup'!$B$15)/10^(-R95))*10^6</f>
        <v>28.248396703933736</v>
      </c>
      <c r="BG95" s="110">
        <f t="shared" si="83"/>
        <v>27.207451749530154</v>
      </c>
      <c r="BH95" s="104">
        <f t="shared" si="84"/>
        <v>58.15278189202107</v>
      </c>
      <c r="BI95" s="104">
        <f t="shared" si="85"/>
        <v>160.37646944744066</v>
      </c>
      <c r="BJ95" s="104">
        <f t="shared" si="86"/>
        <v>157.25977702489246</v>
      </c>
      <c r="BK95" s="105">
        <f t="shared" si="87"/>
        <v>0.9812143472800007</v>
      </c>
      <c r="BL95" s="106"/>
      <c r="BM95" s="107">
        <f>(3*('[2]setup'!$D$19*(10^-R95)^3)+2*('[2]setup'!$D$20*'[2]setup'!$D$19*((10^-R95)^2))+('[2]setup'!$D$21*'[2]setup'!$D$19*10^-R95)+('[2]setup'!$D$19*'[2]setup'!$D$22*(AP95/(10^6*2))*(10^-R95)^3))*10^6</f>
        <v>0.0005041752848440379</v>
      </c>
      <c r="BN95" s="108">
        <f t="shared" si="88"/>
        <v>30.324648347363194</v>
      </c>
      <c r="BO95" s="104">
        <f>(BN95/((('[2]setup'!$C$26)/10^-R95)+2*(('[2]setup'!$C$26*'[2]setup'!$C$27)/(10^-R95^2))+3*(('[2]setup'!$C$26*'[2]setup'!$C$27*'[2]setup'!$C$28)/(10^-R95^3))))/(10^-R95^3/(10^-R95^3+'[2]setup'!$C$26*10^-R95^2+'[2]setup'!$C$26*'[2]setup'!$C$27*10^-R95+'[2]setup'!$C$26*'[2]setup'!$C$27*'[2]setup'!$C$28))</f>
        <v>12.419816442673302</v>
      </c>
      <c r="BQ95" s="111">
        <f t="shared" si="72"/>
        <v>159.9567104634496</v>
      </c>
      <c r="BR95" s="111">
        <f t="shared" si="73"/>
        <v>101.80392857142857</v>
      </c>
      <c r="BS95" s="111">
        <f t="shared" si="74"/>
        <v>1.5712233575663965</v>
      </c>
      <c r="BT95" s="111">
        <f t="shared" si="75"/>
        <v>57.43849617773532</v>
      </c>
      <c r="BU95" s="111">
        <f t="shared" si="76"/>
        <v>1.4816766292992245</v>
      </c>
    </row>
    <row r="96" spans="1:73" ht="12.75">
      <c r="A96" s="82">
        <v>40597</v>
      </c>
      <c r="B96" s="86" t="s">
        <v>46</v>
      </c>
      <c r="C96" s="78">
        <v>1055232</v>
      </c>
      <c r="E96" s="77">
        <v>0.006</v>
      </c>
      <c r="F96" s="77">
        <v>0.00295</v>
      </c>
      <c r="G96" s="77">
        <v>0.08103</v>
      </c>
      <c r="H96" s="77">
        <v>1.185</v>
      </c>
      <c r="I96" s="69">
        <v>0.135</v>
      </c>
      <c r="J96" s="122"/>
      <c r="K96" s="95">
        <v>0.006</v>
      </c>
      <c r="L96" s="77">
        <v>0.5101</v>
      </c>
      <c r="M96" s="77">
        <v>1.115</v>
      </c>
      <c r="N96" s="77">
        <v>0.6423</v>
      </c>
      <c r="O96" s="77">
        <v>2.986</v>
      </c>
      <c r="P96" s="98">
        <v>0.9107</v>
      </c>
      <c r="Q96" s="98">
        <v>4.38</v>
      </c>
      <c r="R96" s="77">
        <v>6.062</v>
      </c>
      <c r="S96" s="77">
        <v>16.2</v>
      </c>
      <c r="T96" s="77">
        <v>35.13</v>
      </c>
      <c r="U96" s="77">
        <v>0.05</v>
      </c>
      <c r="V96" s="77"/>
      <c r="W96" s="77">
        <v>0.002</v>
      </c>
      <c r="X96" s="77">
        <v>0.004968</v>
      </c>
      <c r="Y96" s="77">
        <v>4.302</v>
      </c>
      <c r="Z96" s="77">
        <v>0.9075</v>
      </c>
      <c r="AA96" s="77"/>
      <c r="AB96" s="2"/>
      <c r="AC96" s="8"/>
      <c r="AD96" s="89">
        <v>0.05109</v>
      </c>
      <c r="AE96" s="49">
        <f t="shared" si="55"/>
        <v>0.2142857142857143</v>
      </c>
      <c r="AF96" s="49">
        <f t="shared" si="56"/>
        <v>0.10727272727272727</v>
      </c>
      <c r="AG96" s="49">
        <f t="shared" si="57"/>
        <v>9.003333333333334</v>
      </c>
      <c r="AH96" s="49">
        <f t="shared" si="58"/>
        <v>169.28571428571428</v>
      </c>
      <c r="AI96" s="49">
        <f t="shared" si="59"/>
        <v>9.642857142857144</v>
      </c>
      <c r="AJ96" s="123"/>
      <c r="AK96" s="49">
        <f t="shared" si="61"/>
        <v>0.5806451612903225</v>
      </c>
      <c r="AL96" s="49">
        <f t="shared" si="62"/>
        <v>13.07948717948718</v>
      </c>
      <c r="AM96" s="49">
        <f t="shared" si="63"/>
        <v>55.75</v>
      </c>
      <c r="AN96" s="49">
        <f t="shared" si="64"/>
        <v>53.525</v>
      </c>
      <c r="AO96" s="49">
        <f t="shared" si="65"/>
        <v>129.82608695652175</v>
      </c>
      <c r="AP96" s="49">
        <f t="shared" si="66"/>
        <v>56.918749999999996</v>
      </c>
      <c r="AQ96" s="49">
        <f t="shared" si="67"/>
        <v>125.14285714285714</v>
      </c>
      <c r="AR96" s="100">
        <f t="shared" si="77"/>
        <v>0.866961875758216</v>
      </c>
      <c r="AS96" s="49">
        <f t="shared" si="68"/>
        <v>4.838709677419355</v>
      </c>
      <c r="AT96" s="49"/>
      <c r="AU96" s="49">
        <f t="shared" si="69"/>
        <v>0.06349206349206349</v>
      </c>
      <c r="AV96" s="49">
        <f t="shared" si="70"/>
        <v>0.15286153846153847</v>
      </c>
      <c r="AW96" s="100">
        <f t="shared" si="71"/>
        <v>64.82142857142857</v>
      </c>
      <c r="AX96" s="100"/>
      <c r="AY96" s="100"/>
      <c r="AZ96" s="100"/>
      <c r="BA96" s="79"/>
      <c r="BB96" s="79"/>
      <c r="BC96" s="107"/>
      <c r="BD96" s="107"/>
      <c r="BE96" s="106"/>
      <c r="BF96" s="104">
        <f>(('[2]setup'!$B$13*'[2]setup'!$B$14*'[2]setup'!$B$15)/10^(-R96))*10^6</f>
        <v>13.677093112598481</v>
      </c>
      <c r="BG96" s="110">
        <f t="shared" si="83"/>
        <v>39.71206790057802</v>
      </c>
      <c r="BH96" s="104"/>
      <c r="BI96" s="104"/>
      <c r="BJ96" s="104"/>
      <c r="BK96" s="105"/>
      <c r="BL96" s="106"/>
      <c r="BM96" s="107">
        <f>(3*('[2]setup'!$D$19*(10^-R96)^3)+2*('[2]setup'!$D$20*'[2]setup'!$D$19*((10^-R96)^2))+('[2]setup'!$D$21*'[2]setup'!$D$19*10^-R96)+('[2]setup'!$D$19*'[2]setup'!$D$22*(AP96/(10^6*2))*(10^-R96)^3))*10^6</f>
        <v>0.0014424489436690687</v>
      </c>
      <c r="BN96" s="108"/>
      <c r="BO96" s="104"/>
      <c r="BQ96" s="111"/>
      <c r="BR96" s="111"/>
      <c r="BS96" s="111"/>
      <c r="BT96" s="111"/>
      <c r="BU96" s="111">
        <f t="shared" si="76"/>
        <v>1.0374230692872743</v>
      </c>
    </row>
    <row r="97" spans="1:73" ht="12.75">
      <c r="A97" s="82">
        <v>40618</v>
      </c>
      <c r="B97" s="86" t="s">
        <v>46</v>
      </c>
      <c r="C97" s="85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91"/>
      <c r="AC97" s="8"/>
      <c r="AD97" s="91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100"/>
      <c r="AS97" s="49"/>
      <c r="AT97" s="49"/>
      <c r="AU97" s="49"/>
      <c r="AV97" s="49"/>
      <c r="AW97" s="100"/>
      <c r="AX97" s="100"/>
      <c r="AY97" s="100"/>
      <c r="AZ97" s="100"/>
      <c r="BA97" s="79"/>
      <c r="BB97" s="79"/>
      <c r="BC97" s="107"/>
      <c r="BD97" s="107"/>
      <c r="BE97" s="106"/>
      <c r="BF97" s="104"/>
      <c r="BG97" s="110"/>
      <c r="BH97" s="104"/>
      <c r="BI97" s="104"/>
      <c r="BJ97" s="104"/>
      <c r="BK97" s="105"/>
      <c r="BL97" s="106"/>
      <c r="BM97" s="107"/>
      <c r="BN97" s="108"/>
      <c r="BO97" s="104"/>
      <c r="BQ97" s="111"/>
      <c r="BR97" s="111"/>
      <c r="BS97" s="111"/>
      <c r="BT97" s="111"/>
      <c r="BU97" s="111"/>
    </row>
    <row r="98" spans="1:73" ht="12.75">
      <c r="A98" s="82">
        <v>40631</v>
      </c>
      <c r="B98" s="86" t="s">
        <v>46</v>
      </c>
      <c r="C98" s="78">
        <v>1059805</v>
      </c>
      <c r="E98" s="77">
        <v>0.006</v>
      </c>
      <c r="F98" s="77">
        <v>0.002</v>
      </c>
      <c r="G98" s="77">
        <v>0.03003</v>
      </c>
      <c r="H98" s="77">
        <v>1.451</v>
      </c>
      <c r="I98" s="95">
        <v>0.011</v>
      </c>
      <c r="J98" s="98">
        <v>0.02901</v>
      </c>
      <c r="K98" s="95">
        <v>0.005</v>
      </c>
      <c r="L98" s="77">
        <v>0.1</v>
      </c>
      <c r="M98" s="77">
        <v>0.5921</v>
      </c>
      <c r="N98" s="77">
        <v>0.3091</v>
      </c>
      <c r="O98" s="77">
        <v>2.872</v>
      </c>
      <c r="P98" s="98">
        <v>0.5821</v>
      </c>
      <c r="Q98" s="98">
        <v>2.647</v>
      </c>
      <c r="R98" s="77">
        <v>6.309</v>
      </c>
      <c r="S98" s="77">
        <v>18</v>
      </c>
      <c r="T98" s="77">
        <v>20.01</v>
      </c>
      <c r="U98" s="77">
        <v>0.05</v>
      </c>
      <c r="V98" s="77"/>
      <c r="W98" s="77">
        <v>0.002</v>
      </c>
      <c r="X98" s="77">
        <v>0.002465</v>
      </c>
      <c r="Y98" s="77">
        <v>1.254</v>
      </c>
      <c r="Z98" s="77">
        <v>0.01</v>
      </c>
      <c r="AA98" s="77">
        <v>-0.030010000000000002</v>
      </c>
      <c r="AB98" s="2"/>
      <c r="AC98" s="8"/>
      <c r="AD98" s="89">
        <v>0.07991</v>
      </c>
      <c r="AE98" s="49">
        <f t="shared" si="55"/>
        <v>0.2142857142857143</v>
      </c>
      <c r="AF98" s="49">
        <f t="shared" si="56"/>
        <v>0.07272727272727272</v>
      </c>
      <c r="AG98" s="49">
        <f t="shared" si="57"/>
        <v>3.336666666666667</v>
      </c>
      <c r="AH98" s="49">
        <f t="shared" si="58"/>
        <v>207.2857142857143</v>
      </c>
      <c r="AI98" s="49">
        <f t="shared" si="59"/>
        <v>0.7857142857142856</v>
      </c>
      <c r="AJ98" s="49">
        <f t="shared" si="60"/>
        <v>2.072142857142857</v>
      </c>
      <c r="AK98" s="49">
        <f t="shared" si="61"/>
        <v>0.4838709677419355</v>
      </c>
      <c r="AL98" s="49">
        <f t="shared" si="62"/>
        <v>2.5641025641025643</v>
      </c>
      <c r="AM98" s="49">
        <f t="shared" si="63"/>
        <v>29.605</v>
      </c>
      <c r="AN98" s="49">
        <f t="shared" si="64"/>
        <v>25.75833333333333</v>
      </c>
      <c r="AO98" s="49">
        <f t="shared" si="65"/>
        <v>124.8695652173913</v>
      </c>
      <c r="AP98" s="49">
        <f t="shared" si="66"/>
        <v>36.381249999999994</v>
      </c>
      <c r="AQ98" s="49">
        <f t="shared" si="67"/>
        <v>75.62857142857142</v>
      </c>
      <c r="AR98" s="100">
        <f t="shared" si="77"/>
        <v>0.49090787615260284</v>
      </c>
      <c r="AS98" s="49">
        <f t="shared" si="68"/>
        <v>4.838709677419355</v>
      </c>
      <c r="AT98" s="49"/>
      <c r="AU98" s="49">
        <f t="shared" si="69"/>
        <v>0.06349206349206349</v>
      </c>
      <c r="AV98" s="49">
        <f t="shared" si="70"/>
        <v>0.07584615384615385</v>
      </c>
      <c r="AW98" s="100">
        <f t="shared" si="71"/>
        <v>0.7142857142857143</v>
      </c>
      <c r="AX98" s="100">
        <f t="shared" si="78"/>
        <v>-2.1435714285714282</v>
      </c>
      <c r="AY98" s="100"/>
      <c r="AZ98" s="100">
        <f t="shared" si="79"/>
        <v>2.8578571428571427</v>
      </c>
      <c r="BA98" s="79"/>
      <c r="BB98" s="79"/>
      <c r="BC98" s="107">
        <f t="shared" si="80"/>
        <v>183.58271540054147</v>
      </c>
      <c r="BD98" s="107">
        <f t="shared" si="81"/>
        <v>114.08196428571426</v>
      </c>
      <c r="BE98" s="106">
        <f t="shared" si="82"/>
        <v>23.34867246865914</v>
      </c>
      <c r="BF98" s="104">
        <f>(('[2]setup'!$B$13*'[2]setup'!$B$14*'[2]setup'!$B$15)/10^(-R98))*10^6</f>
        <v>24.154263713895144</v>
      </c>
      <c r="BG98" s="110">
        <f t="shared" si="83"/>
        <v>11.832324265987003</v>
      </c>
      <c r="BH98" s="104">
        <f t="shared" si="84"/>
        <v>69.50075111482721</v>
      </c>
      <c r="BI98" s="104">
        <f t="shared" si="85"/>
        <v>184.07362327669406</v>
      </c>
      <c r="BJ98" s="104">
        <f t="shared" si="86"/>
        <v>150.0685522655964</v>
      </c>
      <c r="BK98" s="105">
        <f t="shared" si="87"/>
        <v>10.1768269617296</v>
      </c>
      <c r="BL98" s="106"/>
      <c r="BM98" s="107">
        <f>(3*('[2]setup'!$D$19*(10^-R98)^3)+2*('[2]setup'!$D$20*'[2]setup'!$D$19*((10^-R98)^2))+('[2]setup'!$D$21*'[2]setup'!$D$19*10^-R98)+('[2]setup'!$D$19*'[2]setup'!$D$22*(AP98/(10^6*2))*(10^-R98)^3))*10^6</f>
        <v>0.0006217752606419811</v>
      </c>
      <c r="BN98" s="108">
        <f t="shared" si="88"/>
        <v>45.83801705234529</v>
      </c>
      <c r="BO98" s="104">
        <f>(BN98/((('[2]setup'!$C$26)/10^-R98)+2*(('[2]setup'!$C$26*'[2]setup'!$C$27)/(10^-R98^2))+3*(('[2]setup'!$C$26*'[2]setup'!$C$27*'[2]setup'!$C$28)/(10^-R98^3))))/(10^-R98^3/(10^-R98^3+'[2]setup'!$C$26*10^-R98^2+'[2]setup'!$C$26*'[2]setup'!$C$27*10^-R98+'[2]setup'!$C$26*'[2]setup'!$C$27*'[2]setup'!$C$28))</f>
        <v>19.09210492332052</v>
      </c>
      <c r="BQ98" s="111">
        <f t="shared" si="72"/>
        <v>183.58271540054147</v>
      </c>
      <c r="BR98" s="111">
        <f t="shared" si="73"/>
        <v>114.08196428571426</v>
      </c>
      <c r="BS98" s="111">
        <f t="shared" si="74"/>
        <v>1.6092176931733488</v>
      </c>
      <c r="BT98" s="111">
        <f t="shared" si="75"/>
        <v>68.71503682911293</v>
      </c>
      <c r="BU98" s="111">
        <f t="shared" si="76"/>
        <v>1.6510898309817514</v>
      </c>
    </row>
    <row r="99" spans="5:26" s="79" customFormat="1" ht="12.75"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ht="12.75"/>
    <row r="101" spans="1:67" ht="12.75">
      <c r="A101" s="84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60"/>
      <c r="AS101" s="59"/>
      <c r="AT101" s="59"/>
      <c r="AU101" s="59"/>
      <c r="AV101" s="59"/>
      <c r="AW101" s="60"/>
      <c r="AX101" s="60"/>
      <c r="AY101" s="60"/>
      <c r="AZ101" s="60"/>
      <c r="BC101" s="73"/>
      <c r="BD101" s="73"/>
      <c r="BE101" s="74"/>
      <c r="BF101" s="68"/>
      <c r="BG101" s="75"/>
      <c r="BH101" s="68"/>
      <c r="BI101" s="68"/>
      <c r="BJ101" s="68"/>
      <c r="BK101" s="69"/>
      <c r="BL101" s="70"/>
      <c r="BM101" s="71"/>
      <c r="BN101" s="72"/>
      <c r="BO101" s="68"/>
    </row>
  </sheetData>
  <sheetProtection/>
  <dataValidations count="1">
    <dataValidation operator="greaterThanOrEqual" allowBlank="1" showInputMessage="1" showErrorMessage="1" sqref="R71:T72 U55:U59 L53 U53:V53 E53:F53 R53:S53 R54:U54 R55:S55 R59 R61 S77:T78 N53:O53 L75 E71:E79 N75:O75 T70 K6 F75 I6 E54:E59 E64:E65 E67:E69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9" sqref="R29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Macaulay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Sheila Gibbs</cp:lastModifiedBy>
  <dcterms:created xsi:type="dcterms:W3CDTF">2009-02-03T12:23:26Z</dcterms:created>
  <dcterms:modified xsi:type="dcterms:W3CDTF">2012-02-03T11:37:54Z</dcterms:modified>
  <cp:category/>
  <cp:version/>
  <cp:contentType/>
  <cp:contentStatus/>
</cp:coreProperties>
</file>