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firstSheet="1" activeTab="1"/>
  </bookViews>
  <sheets>
    <sheet name="Stream Gauge 8 data" sheetId="1" state="hidden" r:id="rId1"/>
    <sheet name="Al" sheetId="2" r:id="rId2"/>
    <sheet name="Alkalinity" sheetId="3" r:id="rId3"/>
    <sheet name="Ca" sheetId="4" r:id="rId4"/>
    <sheet name="Cation to Anion ratio" sheetId="5" r:id="rId5"/>
    <sheet name="Cl" sheetId="6" r:id="rId6"/>
    <sheet name="Conductivity" sheetId="7" r:id="rId7"/>
    <sheet name="Cu" sheetId="8" r:id="rId8"/>
    <sheet name="DOC" sheetId="9" r:id="rId9"/>
    <sheet name="Fe" sheetId="10" r:id="rId10"/>
    <sheet name="H" sheetId="11" r:id="rId11"/>
    <sheet name="Inorganic N" sheetId="12" r:id="rId12"/>
    <sheet name="K" sheetId="13" r:id="rId13"/>
    <sheet name="Mg" sheetId="14" r:id="rId14"/>
    <sheet name="Mn" sheetId="15" r:id="rId15"/>
    <sheet name="Na" sheetId="16" r:id="rId16"/>
    <sheet name="Na to Cl ratio" sheetId="17" r:id="rId17"/>
    <sheet name="NH4-N" sheetId="18" r:id="rId18"/>
    <sheet name="NO3-N" sheetId="19" r:id="rId19"/>
    <sheet name="pH" sheetId="20" r:id="rId20"/>
    <sheet name="P" sheetId="21" r:id="rId21"/>
    <sheet name="PO4-P" sheetId="22" r:id="rId22"/>
    <sheet name="S" sheetId="23" r:id="rId23"/>
    <sheet name="Si" sheetId="24" r:id="rId24"/>
    <sheet name="SO4-S" sheetId="25" r:id="rId25"/>
    <sheet name="Total Anions" sheetId="26" r:id="rId26"/>
    <sheet name="Total Cations" sheetId="27" r:id="rId27"/>
    <sheet name="Zn" sheetId="28" r:id="rId28"/>
  </sheets>
  <externalReferences>
    <externalReference r:id="rId31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comments1.xml><?xml version="1.0" encoding="utf-8"?>
<comments xmlns="http://schemas.openxmlformats.org/spreadsheetml/2006/main">
  <authors>
    <author> </author>
    <author>Macaulay Institute</author>
    <author>Sheila Gibbs</author>
  </authors>
  <commentList>
    <comment ref="T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High conductivity for blanks for following dates:-27th March'07, 10th April'07,24th April'07</t>
        </r>
      </text>
    </comment>
    <comment ref="A6" authorId="1">
      <text>
        <r>
          <rPr>
            <b/>
            <sz val="8"/>
            <rFont val="Tahoma"/>
            <family val="2"/>
          </rPr>
          <t>Sheila Gibbs:These are det limits set in place(13/12/06) for all Mharcaidh data -historical(Jo's) &amp; montane project.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If the dl set is higher than original dl, any data still lying between the two has been changed in cell to = dl.</t>
        </r>
      </text>
    </comment>
    <comment ref="H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0.03</t>
        </r>
      </text>
    </comment>
    <comment ref="M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0.021</t>
        </r>
      </text>
    </comment>
    <comment ref="N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0.03</t>
        </r>
      </text>
    </comment>
    <comment ref="O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0.301</t>
        </r>
      </text>
    </comment>
    <comment ref="P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0.016</t>
        </r>
      </text>
    </comment>
    <comment ref="Q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0.357</t>
        </r>
      </text>
    </comment>
    <comment ref="T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3.966</t>
        </r>
      </text>
    </comment>
    <comment ref="V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0.07</t>
        </r>
      </text>
    </comment>
    <comment ref="Y3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DOC analysed on Skaler by Yvonne</t>
        </r>
      </text>
    </comment>
    <comment ref="Y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DOC not UKAS accredited</t>
        </r>
      </text>
    </comment>
    <comment ref="Z3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N analysed on Skaler by Yvonne</t>
        </r>
      </text>
    </comment>
    <comment ref="Z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N not UKAS accredited</t>
        </r>
      </text>
    </comment>
    <comment ref="BC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AA is missing then SUM BC has been deleted</t>
        </r>
      </text>
    </comment>
    <comment ref="BD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SUM BC missing then SUM AA has been deleted</t>
        </r>
      </text>
    </comment>
    <comment ref="BI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anions missing then cations have been deleted</t>
        </r>
      </text>
    </comment>
    <comment ref="BJ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cations missing then anions have been deleted</t>
        </r>
      </text>
    </comment>
    <comment ref="AW30" authorId="1">
      <text>
        <r>
          <rPr>
            <b/>
            <sz val="8"/>
            <rFont val="Tahoma"/>
            <family val="2"/>
          </rPr>
          <t>Total N analysed on Skaler by Yvonne.</t>
        </r>
        <r>
          <rPr>
            <sz val="8"/>
            <rFont val="Tahoma"/>
            <family val="2"/>
          </rPr>
          <t xml:space="preserve">
</t>
        </r>
      </text>
    </comment>
    <comment ref="AW31" authorId="1">
      <text>
        <r>
          <rPr>
            <b/>
            <sz val="8"/>
            <rFont val="Tahoma"/>
            <family val="2"/>
          </rPr>
          <t>Total not UKAS accredited</t>
        </r>
        <r>
          <rPr>
            <sz val="8"/>
            <rFont val="Tahoma"/>
            <family val="2"/>
          </rPr>
          <t xml:space="preserve">
</t>
        </r>
      </text>
    </comment>
    <comment ref="AH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4.2857</t>
        </r>
      </text>
    </comment>
    <comment ref="AM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1.05</t>
        </r>
      </text>
    </comment>
    <comment ref="AN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2.5</t>
        </r>
      </text>
    </comment>
    <comment ref="AO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13.087</t>
        </r>
      </text>
    </comment>
    <comment ref="AP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1.0</t>
        </r>
      </text>
    </comment>
    <comment ref="AQ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10.20</t>
        </r>
      </text>
    </comment>
    <comment ref="AT33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4.3750</t>
        </r>
      </text>
    </comment>
    <comment ref="AD4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F analysis carried out after Icelandic volcanic eruption in April'10. Columns replaced on dionex so det limit changes from &lt;0.05 to &lt;0.006 from Aug'10 onwards</t>
        </r>
      </text>
    </comment>
    <comment ref="B80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81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82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83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This sample taken as close as possible to site of Spring</t>
        </r>
      </text>
    </comment>
    <comment ref="B84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93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94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95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96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97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No sample taken</t>
        </r>
      </text>
    </comment>
    <comment ref="B98" authorId="2">
      <text>
        <r>
          <rPr>
            <b/>
            <sz val="8"/>
            <rFont val="Tahoma"/>
            <family val="2"/>
          </rPr>
          <t>Sheila Gibbs:</t>
        </r>
        <r>
          <rPr>
            <sz val="8"/>
            <rFont val="Tahoma"/>
            <family val="2"/>
          </rPr>
          <t xml:space="preserve">
This sample taken 50-100m lower than usual site</t>
        </r>
      </text>
    </comment>
    <comment ref="V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  <comment ref="AT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Total S not accurate due to N &amp; O interference on the ICP-MS from 10th April'07 onwards. S not reported by analytical from 14th Oct'08 onwards.See Mharcaidh montane water chemistry (RAW DATA) for any reported data.</t>
        </r>
      </text>
    </comment>
    <comment ref="BQ4" authorId="1">
      <text>
        <r>
          <rPr>
            <b/>
            <sz val="8"/>
            <rFont val="Tahoma"/>
            <family val="2"/>
          </rPr>
          <t>Macaulay Institute:</t>
        </r>
        <r>
          <rPr>
            <sz val="8"/>
            <rFont val="Tahoma"/>
            <family val="2"/>
          </rPr>
          <t xml:space="preserve">
If Total Anions missing then Total Cations have been deleted</t>
        </r>
      </text>
    </comment>
    <comment ref="BR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If Total Cations missing then Total Anions have been deleted</t>
        </r>
      </text>
    </comment>
  </commentList>
</comments>
</file>

<file path=xl/sharedStrings.xml><?xml version="1.0" encoding="utf-8"?>
<sst xmlns="http://schemas.openxmlformats.org/spreadsheetml/2006/main" count="219" uniqueCount="69">
  <si>
    <t>Mharcaidh Montane Project</t>
  </si>
  <si>
    <t>Cells with fill colour red contain values which have been deleted from further analysis.</t>
  </si>
  <si>
    <t>Click on cell to view deleted data.</t>
  </si>
  <si>
    <t>Date</t>
  </si>
  <si>
    <t>Site Name</t>
  </si>
  <si>
    <t>Bible Nos</t>
  </si>
  <si>
    <t>Volume</t>
  </si>
  <si>
    <t>Fe</t>
  </si>
  <si>
    <t>Mn</t>
  </si>
  <si>
    <t>Al</t>
  </si>
  <si>
    <t>Si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</si>
  <si>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</si>
  <si>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</t>
    </r>
  </si>
  <si>
    <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-P</t>
    </r>
  </si>
  <si>
    <t>K</t>
  </si>
  <si>
    <t>Ca</t>
  </si>
  <si>
    <t>Mg</t>
  </si>
  <si>
    <t>Na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</si>
  <si>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-S</t>
    </r>
  </si>
  <si>
    <t>Cl</t>
  </si>
  <si>
    <t>pH</t>
  </si>
  <si>
    <t>Temp</t>
  </si>
  <si>
    <t>Cond</t>
  </si>
  <si>
    <t>P</t>
  </si>
  <si>
    <t>S</t>
  </si>
  <si>
    <t>Cu</t>
  </si>
  <si>
    <t>Zn</t>
  </si>
  <si>
    <t>DOC</t>
  </si>
  <si>
    <t>Total N(filtered)</t>
  </si>
  <si>
    <t>Org N(calc)</t>
  </si>
  <si>
    <t>Total N(unfiltered)</t>
  </si>
  <si>
    <t>mls</t>
  </si>
  <si>
    <r>
      <t>mgl</t>
    </r>
    <r>
      <rPr>
        <b/>
        <vertAlign val="superscript"/>
        <sz val="10"/>
        <rFont val="Arial"/>
        <family val="2"/>
      </rPr>
      <t>-1</t>
    </r>
  </si>
  <si>
    <r>
      <t>mgl</t>
    </r>
    <r>
      <rPr>
        <b/>
        <vertAlign val="superscript"/>
        <sz val="10"/>
        <rFont val="Arial"/>
        <family val="2"/>
      </rPr>
      <t>-1</t>
    </r>
  </si>
  <si>
    <r>
      <t>o</t>
    </r>
    <r>
      <rPr>
        <b/>
        <sz val="10"/>
        <rFont val="Arial"/>
        <family val="2"/>
      </rPr>
      <t>C</t>
    </r>
  </si>
  <si>
    <t>uS/cm</t>
  </si>
  <si>
    <t>Detection Limits</t>
  </si>
  <si>
    <t>Gauge 8 (Spring)</t>
  </si>
  <si>
    <t>Stream Gauge 8 (SPRING)</t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</si>
  <si>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</si>
  <si>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</t>
    </r>
  </si>
  <si>
    <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-P</t>
    </r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</si>
  <si>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-S</t>
    </r>
  </si>
  <si>
    <t>H</t>
  </si>
  <si>
    <r>
      <t>Inorg N (NH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-N+NO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-N)</t>
    </r>
  </si>
  <si>
    <t>COMMENTS</t>
  </si>
  <si>
    <r>
      <t>ueql</t>
    </r>
    <r>
      <rPr>
        <b/>
        <vertAlign val="superscript"/>
        <sz val="10"/>
        <rFont val="Arial"/>
        <family val="2"/>
      </rPr>
      <t>-1</t>
    </r>
  </si>
  <si>
    <r>
      <t>ueql</t>
    </r>
    <r>
      <rPr>
        <b/>
        <vertAlign val="superscript"/>
        <sz val="10"/>
        <rFont val="Arial"/>
        <family val="2"/>
      </rPr>
      <t>-1</t>
    </r>
  </si>
  <si>
    <t>%</t>
  </si>
  <si>
    <t>µmolc L–1</t>
  </si>
  <si>
    <t>µmol L–1</t>
  </si>
  <si>
    <t>Sum BC</t>
  </si>
  <si>
    <t>Sum AA</t>
  </si>
  <si>
    <t>EXC</t>
  </si>
  <si>
    <t>HCO3</t>
  </si>
  <si>
    <t>ORG-OLV</t>
  </si>
  <si>
    <t>ANC</t>
  </si>
  <si>
    <t>CATION</t>
  </si>
  <si>
    <t>ANION</t>
  </si>
  <si>
    <t>ALTOT</t>
  </si>
  <si>
    <t>ORGCHG</t>
  </si>
  <si>
    <t>mDOC</t>
  </si>
  <si>
    <t>F</t>
  </si>
  <si>
    <t>&lt;0.05</t>
  </si>
  <si>
    <t>Total Cations</t>
  </si>
  <si>
    <t>Total Anions</t>
  </si>
  <si>
    <t>C:A</t>
  </si>
  <si>
    <t>Alkalinity</t>
  </si>
  <si>
    <t>Na:Cl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</si>
</sst>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00000"/>
    <numFmt numFmtId="166" formatCode="[$-809]dd\ mmmm\ yyyy"/>
    <numFmt numFmtId="167" formatCode="0.0"/>
    <numFmt numFmtId="168" formatCode="0.0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0000"/>
    <numFmt numFmtId="178" formatCode="0.00000"/>
    <numFmt numFmtId="179" formatCode="&quot;$&quot;#,##0.00"/>
    <numFmt numFmtId="180" formatCode="mmmm\ d\,\ yyyy"/>
    <numFmt numFmtId="181" formatCode="d\-mmm\-yyyy"/>
    <numFmt numFmtId="182" formatCode="mmm\-yyyy"/>
    <numFmt numFmtId="183" formatCode="0.0%"/>
    <numFmt numFmtId="184" formatCode="0_)"/>
    <numFmt numFmtId="185" formatCode="0.00%_)"/>
    <numFmt numFmtId="186" formatCode="[$-409]dddd\,\ mmmm\ dd\,\ yyyy"/>
    <numFmt numFmtId="187" formatCode="m/d/yyyy_)"/>
    <numFmt numFmtId="188" formatCode="0.00?%_)"/>
    <numFmt numFmtId="189" formatCode="0.0??%_)"/>
    <numFmt numFmtId="190" formatCode="yyyy"/>
    <numFmt numFmtId="191" formatCode="0.####"/>
    <numFmt numFmtId="192" formatCode="0.#"/>
    <numFmt numFmtId="193" formatCode="0.###"/>
    <numFmt numFmtId="194" formatCode="0.##"/>
    <numFmt numFmtId="195" formatCode="0.#####"/>
    <numFmt numFmtId="196" formatCode="0.########"/>
    <numFmt numFmtId="197" formatCode="0.#######"/>
    <numFmt numFmtId="198" formatCode="0.######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4"/>
      <name val="Arial"/>
      <family val="2"/>
    </font>
    <font>
      <u val="single"/>
      <sz val="11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i/>
      <u val="single"/>
      <sz val="10"/>
      <color indexed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u val="single"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2"/>
      <color indexed="8"/>
      <name val="Arial"/>
      <family val="0"/>
    </font>
    <font>
      <b/>
      <vertAlign val="subscript"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/>
    </xf>
    <xf numFmtId="15" fontId="6" fillId="0" borderId="0" xfId="0" applyNumberFormat="1" applyFont="1" applyFill="1" applyAlignment="1">
      <alignment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left"/>
    </xf>
    <xf numFmtId="164" fontId="8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15" fontId="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91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93" fontId="0" fillId="0" borderId="0" xfId="0" applyNumberFormat="1" applyFont="1" applyFill="1" applyBorder="1" applyAlignment="1" applyProtection="1">
      <alignment horizontal="center"/>
      <protection/>
    </xf>
    <xf numFmtId="194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55" applyAlignment="1">
      <alignment horizontal="center"/>
      <protection/>
    </xf>
    <xf numFmtId="191" fontId="0" fillId="0" borderId="0" xfId="55" applyNumberFormat="1" applyAlignment="1">
      <alignment horizontal="center"/>
      <protection/>
    </xf>
    <xf numFmtId="193" fontId="0" fillId="0" borderId="0" xfId="55" applyNumberFormat="1" applyAlignment="1">
      <alignment horizontal="center"/>
      <protection/>
    </xf>
    <xf numFmtId="193" fontId="0" fillId="0" borderId="0" xfId="55" applyNumberFormat="1" applyFont="1" applyBorder="1" applyAlignment="1">
      <alignment horizontal="center"/>
      <protection/>
    </xf>
    <xf numFmtId="193" fontId="0" fillId="0" borderId="0" xfId="55" applyNumberFormat="1" applyFont="1" applyFill="1" applyBorder="1" applyAlignment="1" applyProtection="1">
      <alignment horizontal="center"/>
      <protection/>
    </xf>
    <xf numFmtId="192" fontId="0" fillId="0" borderId="0" xfId="55" applyNumberFormat="1" applyAlignment="1">
      <alignment horizontal="center"/>
      <protection/>
    </xf>
    <xf numFmtId="194" fontId="0" fillId="0" borderId="0" xfId="55" applyNumberFormat="1" applyAlignment="1">
      <alignment horizontal="center"/>
      <protection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55">
      <alignment/>
      <protection/>
    </xf>
    <xf numFmtId="1" fontId="0" fillId="0" borderId="0" xfId="55" applyNumberFormat="1" applyFont="1" applyFill="1" applyBorder="1" applyAlignment="1" applyProtection="1">
      <alignment horizontal="center"/>
      <protection/>
    </xf>
    <xf numFmtId="193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92" fontId="0" fillId="0" borderId="0" xfId="0" applyNumberFormat="1" applyFont="1" applyAlignment="1">
      <alignment horizontal="center"/>
    </xf>
    <xf numFmtId="192" fontId="61" fillId="0" borderId="0" xfId="0" applyNumberFormat="1" applyFont="1" applyAlignment="1">
      <alignment horizontal="center"/>
    </xf>
    <xf numFmtId="15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55" applyNumberFormat="1" applyFont="1" applyAlignment="1">
      <alignment horizontal="center"/>
      <protection/>
    </xf>
    <xf numFmtId="168" fontId="0" fillId="0" borderId="0" xfId="0" applyNumberFormat="1" applyAlignment="1">
      <alignment horizontal="center"/>
    </xf>
    <xf numFmtId="168" fontId="6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 horizontal="center"/>
    </xf>
    <xf numFmtId="168" fontId="2" fillId="34" borderId="0" xfId="0" applyNumberFormat="1" applyFon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8" fillId="0" borderId="0" xfId="0" applyNumberFormat="1" applyFont="1" applyAlignment="1">
      <alignment/>
    </xf>
    <xf numFmtId="168" fontId="0" fillId="0" borderId="0" xfId="55" applyNumberFormat="1" applyAlignment="1">
      <alignment horizontal="center"/>
      <protection/>
    </xf>
    <xf numFmtId="1" fontId="62" fillId="0" borderId="0" xfId="0" applyNumberFormat="1" applyFont="1" applyFill="1" applyAlignment="1">
      <alignment horizontal="center"/>
    </xf>
    <xf numFmtId="168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8" fontId="8" fillId="33" borderId="0" xfId="0" applyNumberFormat="1" applyFont="1" applyFill="1" applyAlignment="1">
      <alignment/>
    </xf>
    <xf numFmtId="15" fontId="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91" fontId="0" fillId="0" borderId="10" xfId="0" applyNumberFormat="1" applyBorder="1" applyAlignment="1">
      <alignment horizontal="center"/>
    </xf>
    <xf numFmtId="193" fontId="0" fillId="0" borderId="10" xfId="0" applyNumberFormat="1" applyBorder="1" applyAlignment="1">
      <alignment horizontal="center"/>
    </xf>
    <xf numFmtId="193" fontId="0" fillId="0" borderId="10" xfId="0" applyNumberFormat="1" applyFont="1" applyBorder="1" applyAlignment="1">
      <alignment horizontal="center"/>
    </xf>
    <xf numFmtId="193" fontId="0" fillId="0" borderId="10" xfId="0" applyNumberFormat="1" applyFont="1" applyFill="1" applyBorder="1" applyAlignment="1" applyProtection="1">
      <alignment horizontal="center"/>
      <protection/>
    </xf>
    <xf numFmtId="168" fontId="0" fillId="0" borderId="10" xfId="0" applyNumberFormat="1" applyFont="1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68" fontId="8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data'!$AG$8:$AG$98</c:f>
              <c:numCache>
                <c:ptCount val="91"/>
                <c:pt idx="0">
                  <c:v>3.566666666666667</c:v>
                </c:pt>
                <c:pt idx="1">
                  <c:v>6.844444444444445</c:v>
                </c:pt>
                <c:pt idx="2">
                  <c:v>2.2222222222222223</c:v>
                </c:pt>
                <c:pt idx="3">
                  <c:v>2.2222222222222223</c:v>
                </c:pt>
                <c:pt idx="4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  <c:pt idx="8">
                  <c:v>12.644444444444444</c:v>
                </c:pt>
                <c:pt idx="9">
                  <c:v>2.4999999999999996</c:v>
                </c:pt>
                <c:pt idx="11">
                  <c:v>9.355555555555554</c:v>
                </c:pt>
                <c:pt idx="13">
                  <c:v>2.2222222222222223</c:v>
                </c:pt>
                <c:pt idx="14">
                  <c:v>2.2222222222222223</c:v>
                </c:pt>
                <c:pt idx="15">
                  <c:v>2.2222222222222223</c:v>
                </c:pt>
                <c:pt idx="16">
                  <c:v>2.2222222222222223</c:v>
                </c:pt>
                <c:pt idx="17">
                  <c:v>2.2222222222222223</c:v>
                </c:pt>
                <c:pt idx="18">
                  <c:v>2.2222222222222223</c:v>
                </c:pt>
                <c:pt idx="19">
                  <c:v>6.18888888888889</c:v>
                </c:pt>
                <c:pt idx="20">
                  <c:v>2.2222222222222223</c:v>
                </c:pt>
                <c:pt idx="21">
                  <c:v>2.2222222222222223</c:v>
                </c:pt>
                <c:pt idx="22">
                  <c:v>2.2222222222222223</c:v>
                </c:pt>
                <c:pt idx="23">
                  <c:v>2.2222222222222223</c:v>
                </c:pt>
                <c:pt idx="25">
                  <c:v>2.2222222222222223</c:v>
                </c:pt>
                <c:pt idx="27">
                  <c:v>2.2222222222222223</c:v>
                </c:pt>
                <c:pt idx="28">
                  <c:v>7.711111111111111</c:v>
                </c:pt>
                <c:pt idx="29">
                  <c:v>2.2222222222222223</c:v>
                </c:pt>
                <c:pt idx="30">
                  <c:v>2.2222222222222223</c:v>
                </c:pt>
                <c:pt idx="31">
                  <c:v>4.555555555555555</c:v>
                </c:pt>
                <c:pt idx="32">
                  <c:v>2.4755555555555553</c:v>
                </c:pt>
                <c:pt idx="33">
                  <c:v>2.2222222222222223</c:v>
                </c:pt>
                <c:pt idx="34">
                  <c:v>4.777777777777778</c:v>
                </c:pt>
                <c:pt idx="35">
                  <c:v>2.2222222222222223</c:v>
                </c:pt>
                <c:pt idx="36">
                  <c:v>2.2222222222222223</c:v>
                </c:pt>
                <c:pt idx="37">
                  <c:v>2.2222222222222223</c:v>
                </c:pt>
                <c:pt idx="38">
                  <c:v>2.2222222222222223</c:v>
                </c:pt>
                <c:pt idx="39">
                  <c:v>2.2222222222222223</c:v>
                </c:pt>
                <c:pt idx="40">
                  <c:v>2.3833333333333333</c:v>
                </c:pt>
                <c:pt idx="41">
                  <c:v>2.2222222222222223</c:v>
                </c:pt>
                <c:pt idx="42">
                  <c:v>2.2222222222222223</c:v>
                </c:pt>
                <c:pt idx="43">
                  <c:v>2.2222222222222223</c:v>
                </c:pt>
                <c:pt idx="44">
                  <c:v>14.01111111111111</c:v>
                </c:pt>
                <c:pt idx="46">
                  <c:v>2.2222222222222223</c:v>
                </c:pt>
                <c:pt idx="47">
                  <c:v>2.2222222222222223</c:v>
                </c:pt>
                <c:pt idx="48">
                  <c:v>2.2222222222222223</c:v>
                </c:pt>
                <c:pt idx="50">
                  <c:v>2.651111111111111</c:v>
                </c:pt>
                <c:pt idx="51">
                  <c:v>2.2222222222222223</c:v>
                </c:pt>
                <c:pt idx="52">
                  <c:v>6.937777777777778</c:v>
                </c:pt>
                <c:pt idx="53">
                  <c:v>2.2222222222222223</c:v>
                </c:pt>
                <c:pt idx="54">
                  <c:v>2.2222222222222223</c:v>
                </c:pt>
                <c:pt idx="55">
                  <c:v>2.2222222222222223</c:v>
                </c:pt>
                <c:pt idx="56">
                  <c:v>2.2222222222222223</c:v>
                </c:pt>
                <c:pt idx="57">
                  <c:v>2.5833333333333335</c:v>
                </c:pt>
                <c:pt idx="58">
                  <c:v>2.2222222222222223</c:v>
                </c:pt>
                <c:pt idx="59">
                  <c:v>3.1422222222222222</c:v>
                </c:pt>
                <c:pt idx="61">
                  <c:v>2.2222222222222223</c:v>
                </c:pt>
                <c:pt idx="62">
                  <c:v>2.2222222222222223</c:v>
                </c:pt>
                <c:pt idx="63">
                  <c:v>2.2222222222222223</c:v>
                </c:pt>
                <c:pt idx="64">
                  <c:v>2.2222222222222223</c:v>
                </c:pt>
                <c:pt idx="65">
                  <c:v>2.2222222222222223</c:v>
                </c:pt>
                <c:pt idx="66">
                  <c:v>2.43</c:v>
                </c:pt>
                <c:pt idx="67">
                  <c:v>2.507777777777778</c:v>
                </c:pt>
                <c:pt idx="68">
                  <c:v>2.2222222222222223</c:v>
                </c:pt>
                <c:pt idx="69">
                  <c:v>3.0088888888888885</c:v>
                </c:pt>
                <c:pt idx="70">
                  <c:v>2.2222222222222223</c:v>
                </c:pt>
                <c:pt idx="71">
                  <c:v>2.2222222222222223</c:v>
                </c:pt>
                <c:pt idx="75">
                  <c:v>4.776666666666667</c:v>
                </c:pt>
                <c:pt idx="77">
                  <c:v>2.8344444444444448</c:v>
                </c:pt>
                <c:pt idx="78">
                  <c:v>16</c:v>
                </c:pt>
                <c:pt idx="79">
                  <c:v>2.2222222222222223</c:v>
                </c:pt>
                <c:pt idx="80">
                  <c:v>6.277777777777778</c:v>
                </c:pt>
                <c:pt idx="81">
                  <c:v>2.2222222222222223</c:v>
                </c:pt>
                <c:pt idx="82">
                  <c:v>2.2222222222222223</c:v>
                </c:pt>
                <c:pt idx="83">
                  <c:v>2.2222222222222223</c:v>
                </c:pt>
                <c:pt idx="84">
                  <c:v>2.2222222222222223</c:v>
                </c:pt>
                <c:pt idx="90">
                  <c:v>3.3255555555555554</c:v>
                </c:pt>
              </c:numCache>
            </c:numRef>
          </c:val>
          <c:smooth val="0"/>
        </c:ser>
        <c:marker val="1"/>
        <c:axId val="11292883"/>
        <c:axId val="34527084"/>
      </c:lineChart>
      <c:dateAx>
        <c:axId val="1129288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708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452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88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data'!$AR$8:$AR$98</c:f>
              <c:numCache>
                <c:ptCount val="91"/>
                <c:pt idx="0">
                  <c:v>1.1481536214968817</c:v>
                </c:pt>
                <c:pt idx="1">
                  <c:v>0.7413102413009177</c:v>
                </c:pt>
                <c:pt idx="2">
                  <c:v>0.3801893963205612</c:v>
                </c:pt>
                <c:pt idx="3">
                  <c:v>0.3090295432513592</c:v>
                </c:pt>
                <c:pt idx="4">
                  <c:v>0.17782794100389224</c:v>
                </c:pt>
                <c:pt idx="6">
                  <c:v>0.6456542290346549</c:v>
                </c:pt>
                <c:pt idx="7">
                  <c:v>0.5370317963702532</c:v>
                </c:pt>
                <c:pt idx="8">
                  <c:v>0.6760829753919818</c:v>
                </c:pt>
                <c:pt idx="9">
                  <c:v>0.407380277804113</c:v>
                </c:pt>
                <c:pt idx="11">
                  <c:v>0.6606934480075963</c:v>
                </c:pt>
                <c:pt idx="13">
                  <c:v>0.4265795188015925</c:v>
                </c:pt>
                <c:pt idx="14">
                  <c:v>0.39810717055349687</c:v>
                </c:pt>
                <c:pt idx="15">
                  <c:v>0.4265795188015925</c:v>
                </c:pt>
                <c:pt idx="16">
                  <c:v>0.4365158322401656</c:v>
                </c:pt>
                <c:pt idx="17">
                  <c:v>0.5248074602497723</c:v>
                </c:pt>
                <c:pt idx="18">
                  <c:v>0.5623413251903491</c:v>
                </c:pt>
                <c:pt idx="19">
                  <c:v>0.7762471166286912</c:v>
                </c:pt>
                <c:pt idx="20">
                  <c:v>0.45708818961487513</c:v>
                </c:pt>
                <c:pt idx="21">
                  <c:v>0.6165950018614822</c:v>
                </c:pt>
                <c:pt idx="22">
                  <c:v>0.5128613839913648</c:v>
                </c:pt>
                <c:pt idx="23">
                  <c:v>0.6760829753919818</c:v>
                </c:pt>
                <c:pt idx="25">
                  <c:v>1.6982436524617461</c:v>
                </c:pt>
                <c:pt idx="27">
                  <c:v>0.5495408738576248</c:v>
                </c:pt>
                <c:pt idx="28">
                  <c:v>1.0232929922807537</c:v>
                </c:pt>
                <c:pt idx="29">
                  <c:v>0.3388441561392027</c:v>
                </c:pt>
                <c:pt idx="30">
                  <c:v>0.7244359600749906</c:v>
                </c:pt>
                <c:pt idx="31">
                  <c:v>0.9549925860214369</c:v>
                </c:pt>
                <c:pt idx="32">
                  <c:v>1.0471285480508985</c:v>
                </c:pt>
                <c:pt idx="33">
                  <c:v>0.3388441561392027</c:v>
                </c:pt>
                <c:pt idx="34">
                  <c:v>1.096478196143185</c:v>
                </c:pt>
                <c:pt idx="35">
                  <c:v>0.8511380382023759</c:v>
                </c:pt>
                <c:pt idx="36">
                  <c:v>0.7585775750291835</c:v>
                </c:pt>
                <c:pt idx="37">
                  <c:v>0.5370317963702532</c:v>
                </c:pt>
                <c:pt idx="38">
                  <c:v>1</c:v>
                </c:pt>
                <c:pt idx="39">
                  <c:v>0.7585775750291835</c:v>
                </c:pt>
                <c:pt idx="40">
                  <c:v>0.7762471166286912</c:v>
                </c:pt>
                <c:pt idx="41">
                  <c:v>0.8511380382023759</c:v>
                </c:pt>
                <c:pt idx="42">
                  <c:v>0.7762471166286912</c:v>
                </c:pt>
                <c:pt idx="43">
                  <c:v>0.7244359600749906</c:v>
                </c:pt>
                <c:pt idx="44">
                  <c:v>1.1481536214968817</c:v>
                </c:pt>
                <c:pt idx="46">
                  <c:v>0.6456542290346549</c:v>
                </c:pt>
                <c:pt idx="47">
                  <c:v>0.4466835921509635</c:v>
                </c:pt>
                <c:pt idx="48">
                  <c:v>0.478630092322638</c:v>
                </c:pt>
                <c:pt idx="50">
                  <c:v>0.6456542290346549</c:v>
                </c:pt>
                <c:pt idx="51">
                  <c:v>0.5128613839913648</c:v>
                </c:pt>
                <c:pt idx="52">
                  <c:v>0.5248074602497723</c:v>
                </c:pt>
                <c:pt idx="53">
                  <c:v>0.7585775750291835</c:v>
                </c:pt>
                <c:pt idx="54">
                  <c:v>0.37153522909717274</c:v>
                </c:pt>
                <c:pt idx="55">
                  <c:v>0.8128305161640995</c:v>
                </c:pt>
                <c:pt idx="56">
                  <c:v>0.9549925860214369</c:v>
                </c:pt>
                <c:pt idx="57">
                  <c:v>0.2779713267759288</c:v>
                </c:pt>
                <c:pt idx="58">
                  <c:v>0.5584701947368307</c:v>
                </c:pt>
                <c:pt idx="59">
                  <c:v>0.45708818961487513</c:v>
                </c:pt>
                <c:pt idx="61">
                  <c:v>0.5584701947368307</c:v>
                </c:pt>
                <c:pt idx="62">
                  <c:v>0.5395106225151278</c:v>
                </c:pt>
                <c:pt idx="63">
                  <c:v>0.32062693245054663</c:v>
                </c:pt>
                <c:pt idx="64">
                  <c:v>0.4216965034285822</c:v>
                </c:pt>
                <c:pt idx="65">
                  <c:v>0.3758374042884443</c:v>
                </c:pt>
                <c:pt idx="66">
                  <c:v>0.5915616341754742</c:v>
                </c:pt>
                <c:pt idx="67">
                  <c:v>0.5780960474057174</c:v>
                </c:pt>
                <c:pt idx="68">
                  <c:v>0.6309573444801929</c:v>
                </c:pt>
                <c:pt idx="69">
                  <c:v>0.5128613839913648</c:v>
                </c:pt>
                <c:pt idx="70">
                  <c:v>0.5741164622073279</c:v>
                </c:pt>
                <c:pt idx="71">
                  <c:v>0.31260793671239556</c:v>
                </c:pt>
                <c:pt idx="75">
                  <c:v>1.1246049739669268</c:v>
                </c:pt>
                <c:pt idx="77">
                  <c:v>0.6807693586937417</c:v>
                </c:pt>
                <c:pt idx="78">
                  <c:v>1.0543868963912582</c:v>
                </c:pt>
                <c:pt idx="79">
                  <c:v>0.6109420249055714</c:v>
                </c:pt>
                <c:pt idx="80">
                  <c:v>0.6053408747539136</c:v>
                </c:pt>
                <c:pt idx="81">
                  <c:v>0.7161434102129027</c:v>
                </c:pt>
                <c:pt idx="82">
                  <c:v>0.48865235934283363</c:v>
                </c:pt>
                <c:pt idx="83">
                  <c:v>0.8147042840208388</c:v>
                </c:pt>
                <c:pt idx="84">
                  <c:v>0.3443499307633383</c:v>
                </c:pt>
                <c:pt idx="90">
                  <c:v>0.5357966575133416</c:v>
                </c:pt>
              </c:numCache>
            </c:numRef>
          </c:val>
          <c:smooth val="0"/>
        </c:ser>
        <c:marker val="1"/>
        <c:axId val="19293981"/>
        <c:axId val="39428102"/>
      </c:lineChart>
      <c:dateAx>
        <c:axId val="1929398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810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42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98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Inorganic 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data'!$AZ$8:$AZ$98</c:f>
              <c:numCache>
                <c:ptCount val="91"/>
                <c:pt idx="0">
                  <c:v>6.642857142857142</c:v>
                </c:pt>
                <c:pt idx="1">
                  <c:v>6.113571428571429</c:v>
                </c:pt>
                <c:pt idx="2">
                  <c:v>8.914285714285715</c:v>
                </c:pt>
                <c:pt idx="3">
                  <c:v>5.784285714285715</c:v>
                </c:pt>
                <c:pt idx="4">
                  <c:v>5.925714285714285</c:v>
                </c:pt>
                <c:pt idx="6">
                  <c:v>6.470714285714286</c:v>
                </c:pt>
                <c:pt idx="7">
                  <c:v>6.947142857142857</c:v>
                </c:pt>
                <c:pt idx="8">
                  <c:v>4.730714285714286</c:v>
                </c:pt>
                <c:pt idx="9">
                  <c:v>7.037857142857143</c:v>
                </c:pt>
                <c:pt idx="11">
                  <c:v>4.009285714285714</c:v>
                </c:pt>
                <c:pt idx="13">
                  <c:v>9.076428571428572</c:v>
                </c:pt>
                <c:pt idx="14">
                  <c:v>9.17142857142857</c:v>
                </c:pt>
                <c:pt idx="15">
                  <c:v>8.34357142857143</c:v>
                </c:pt>
                <c:pt idx="16">
                  <c:v>6.579285714285715</c:v>
                </c:pt>
                <c:pt idx="17">
                  <c:v>5.807142857142857</c:v>
                </c:pt>
                <c:pt idx="18">
                  <c:v>10.371428571428568</c:v>
                </c:pt>
                <c:pt idx="19">
                  <c:v>7.907142857142857</c:v>
                </c:pt>
                <c:pt idx="20">
                  <c:v>5.6571428571428575</c:v>
                </c:pt>
                <c:pt idx="21">
                  <c:v>4.777857142857143</c:v>
                </c:pt>
                <c:pt idx="22">
                  <c:v>6.372857142857143</c:v>
                </c:pt>
                <c:pt idx="23">
                  <c:v>7.807142857142857</c:v>
                </c:pt>
                <c:pt idx="25">
                  <c:v>4.264285714285714</c:v>
                </c:pt>
                <c:pt idx="27">
                  <c:v>5.045714285714285</c:v>
                </c:pt>
                <c:pt idx="28">
                  <c:v>4.23005</c:v>
                </c:pt>
                <c:pt idx="29">
                  <c:v>5.357142857142858</c:v>
                </c:pt>
                <c:pt idx="30">
                  <c:v>5.857142857142856</c:v>
                </c:pt>
                <c:pt idx="31">
                  <c:v>7</c:v>
                </c:pt>
                <c:pt idx="32">
                  <c:v>6.5</c:v>
                </c:pt>
                <c:pt idx="33">
                  <c:v>5.214285714285714</c:v>
                </c:pt>
                <c:pt idx="34">
                  <c:v>5.071428571428571</c:v>
                </c:pt>
                <c:pt idx="35">
                  <c:v>7.112142857142857</c:v>
                </c:pt>
                <c:pt idx="36">
                  <c:v>6.714285714285714</c:v>
                </c:pt>
                <c:pt idx="37">
                  <c:v>4.357142857142857</c:v>
                </c:pt>
                <c:pt idx="38">
                  <c:v>5.811428571428571</c:v>
                </c:pt>
                <c:pt idx="39">
                  <c:v>7.486428571428572</c:v>
                </c:pt>
                <c:pt idx="40">
                  <c:v>6.3535714285714295</c:v>
                </c:pt>
                <c:pt idx="41">
                  <c:v>8.791428571428572</c:v>
                </c:pt>
                <c:pt idx="42">
                  <c:v>4.162428571428571</c:v>
                </c:pt>
                <c:pt idx="43">
                  <c:v>7.769585714285714</c:v>
                </c:pt>
                <c:pt idx="44">
                  <c:v>3.747142857142857</c:v>
                </c:pt>
                <c:pt idx="46">
                  <c:v>5.75</c:v>
                </c:pt>
                <c:pt idx="47">
                  <c:v>4.95</c:v>
                </c:pt>
                <c:pt idx="48">
                  <c:v>4.493571428571428</c:v>
                </c:pt>
                <c:pt idx="50">
                  <c:v>5.404285714285714</c:v>
                </c:pt>
                <c:pt idx="51">
                  <c:v>7.284285714285714</c:v>
                </c:pt>
                <c:pt idx="52">
                  <c:v>4.264285714285714</c:v>
                </c:pt>
                <c:pt idx="53">
                  <c:v>7.198571428571428</c:v>
                </c:pt>
                <c:pt idx="54">
                  <c:v>8.109285714285715</c:v>
                </c:pt>
                <c:pt idx="55">
                  <c:v>7.839285714285715</c:v>
                </c:pt>
                <c:pt idx="56">
                  <c:v>5.104285714285714</c:v>
                </c:pt>
                <c:pt idx="57">
                  <c:v>5.473571428571429</c:v>
                </c:pt>
                <c:pt idx="58">
                  <c:v>3.827857142857143</c:v>
                </c:pt>
                <c:pt idx="59">
                  <c:v>3.274285714285714</c:v>
                </c:pt>
                <c:pt idx="61">
                  <c:v>3.7928571428571427</c:v>
                </c:pt>
                <c:pt idx="62">
                  <c:v>5.49</c:v>
                </c:pt>
                <c:pt idx="63">
                  <c:v>5.729285714285714</c:v>
                </c:pt>
                <c:pt idx="64">
                  <c:v>4.9471428571428575</c:v>
                </c:pt>
                <c:pt idx="65">
                  <c:v>5.951428571428572</c:v>
                </c:pt>
                <c:pt idx="66">
                  <c:v>3.0228571428571427</c:v>
                </c:pt>
                <c:pt idx="67">
                  <c:v>5.574285714285715</c:v>
                </c:pt>
                <c:pt idx="68">
                  <c:v>5.621428571428571</c:v>
                </c:pt>
                <c:pt idx="69">
                  <c:v>3.09</c:v>
                </c:pt>
                <c:pt idx="70">
                  <c:v>3.3085714285714287</c:v>
                </c:pt>
                <c:pt idx="71">
                  <c:v>3.900714285714286</c:v>
                </c:pt>
                <c:pt idx="75">
                  <c:v>2.5</c:v>
                </c:pt>
                <c:pt idx="77">
                  <c:v>3.362857142857143</c:v>
                </c:pt>
                <c:pt idx="78">
                  <c:v>2.6764285714285716</c:v>
                </c:pt>
                <c:pt idx="79">
                  <c:v>4.309285714285714</c:v>
                </c:pt>
                <c:pt idx="80">
                  <c:v>3.230714285714286</c:v>
                </c:pt>
                <c:pt idx="81">
                  <c:v>3.8828571428571426</c:v>
                </c:pt>
                <c:pt idx="82">
                  <c:v>3</c:v>
                </c:pt>
                <c:pt idx="83">
                  <c:v>3.177142857142857</c:v>
                </c:pt>
                <c:pt idx="84">
                  <c:v>2.8200000000000003</c:v>
                </c:pt>
                <c:pt idx="90">
                  <c:v>3.3535714285714286</c:v>
                </c:pt>
              </c:numCache>
            </c:numRef>
          </c:val>
          <c:smooth val="0"/>
        </c:ser>
        <c:marker val="1"/>
        <c:axId val="19308599"/>
        <c:axId val="39559664"/>
      </c:lineChart>
      <c:dateAx>
        <c:axId val="19308599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559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K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data'!$AL$8:$AL$98</c:f>
              <c:numCache>
                <c:ptCount val="91"/>
                <c:pt idx="0">
                  <c:v>2.8153846153846156</c:v>
                </c:pt>
                <c:pt idx="1">
                  <c:v>3.9871794871794872</c:v>
                </c:pt>
                <c:pt idx="2">
                  <c:v>9.094871794871796</c:v>
                </c:pt>
                <c:pt idx="3">
                  <c:v>5.8769230769230765</c:v>
                </c:pt>
                <c:pt idx="4">
                  <c:v>3.8435897435897437</c:v>
                </c:pt>
                <c:pt idx="6">
                  <c:v>4.043589743589743</c:v>
                </c:pt>
                <c:pt idx="7">
                  <c:v>10.03846153846154</c:v>
                </c:pt>
                <c:pt idx="8">
                  <c:v>7.0256410256410255</c:v>
                </c:pt>
                <c:pt idx="9">
                  <c:v>6.18974358974359</c:v>
                </c:pt>
                <c:pt idx="11">
                  <c:v>6.025641025641025</c:v>
                </c:pt>
                <c:pt idx="13">
                  <c:v>6.874358974358974</c:v>
                </c:pt>
                <c:pt idx="14">
                  <c:v>8.935897435897436</c:v>
                </c:pt>
                <c:pt idx="15">
                  <c:v>5.051282051282051</c:v>
                </c:pt>
                <c:pt idx="16">
                  <c:v>4.151282051282051</c:v>
                </c:pt>
                <c:pt idx="17">
                  <c:v>5.5666666666666655</c:v>
                </c:pt>
                <c:pt idx="18">
                  <c:v>3.4692307692307693</c:v>
                </c:pt>
                <c:pt idx="19">
                  <c:v>5.051282051282051</c:v>
                </c:pt>
                <c:pt idx="20">
                  <c:v>5.628205128205129</c:v>
                </c:pt>
                <c:pt idx="21">
                  <c:v>4.735897435897437</c:v>
                </c:pt>
                <c:pt idx="22">
                  <c:v>5.610256410256411</c:v>
                </c:pt>
                <c:pt idx="23">
                  <c:v>5.312820512820513</c:v>
                </c:pt>
                <c:pt idx="25">
                  <c:v>2.5641025641025643</c:v>
                </c:pt>
                <c:pt idx="27">
                  <c:v>3.5974358974358975</c:v>
                </c:pt>
                <c:pt idx="28">
                  <c:v>5.184615384615385</c:v>
                </c:pt>
                <c:pt idx="29">
                  <c:v>3.846153846153846</c:v>
                </c:pt>
                <c:pt idx="30">
                  <c:v>4.3589743589743595</c:v>
                </c:pt>
                <c:pt idx="31">
                  <c:v>5.128205128205129</c:v>
                </c:pt>
                <c:pt idx="32">
                  <c:v>8.21025641025641</c:v>
                </c:pt>
                <c:pt idx="33">
                  <c:v>4.102564102564102</c:v>
                </c:pt>
                <c:pt idx="34">
                  <c:v>5.128205128205129</c:v>
                </c:pt>
                <c:pt idx="35">
                  <c:v>6.520512820512821</c:v>
                </c:pt>
                <c:pt idx="36">
                  <c:v>6.846153846153847</c:v>
                </c:pt>
                <c:pt idx="37">
                  <c:v>9.820512820512821</c:v>
                </c:pt>
                <c:pt idx="38">
                  <c:v>10.26923076923077</c:v>
                </c:pt>
                <c:pt idx="39">
                  <c:v>6.5948717948717945</c:v>
                </c:pt>
                <c:pt idx="40">
                  <c:v>8.056410256410256</c:v>
                </c:pt>
                <c:pt idx="41">
                  <c:v>9.105128205128207</c:v>
                </c:pt>
                <c:pt idx="42">
                  <c:v>6.682051282051282</c:v>
                </c:pt>
                <c:pt idx="43">
                  <c:v>8.125641025641025</c:v>
                </c:pt>
                <c:pt idx="44">
                  <c:v>7.953846153846153</c:v>
                </c:pt>
                <c:pt idx="46">
                  <c:v>7.594871794871795</c:v>
                </c:pt>
                <c:pt idx="47">
                  <c:v>7.205128205128206</c:v>
                </c:pt>
                <c:pt idx="48">
                  <c:v>4.2333333333333325</c:v>
                </c:pt>
                <c:pt idx="50">
                  <c:v>3.4128205128205127</c:v>
                </c:pt>
                <c:pt idx="51">
                  <c:v>11.064102564102564</c:v>
                </c:pt>
                <c:pt idx="52">
                  <c:v>2.5641025641025643</c:v>
                </c:pt>
                <c:pt idx="53">
                  <c:v>8.41025641025641</c:v>
                </c:pt>
                <c:pt idx="54">
                  <c:v>9.102564102564102</c:v>
                </c:pt>
                <c:pt idx="55">
                  <c:v>5.212820512820514</c:v>
                </c:pt>
                <c:pt idx="56">
                  <c:v>5.533333333333333</c:v>
                </c:pt>
                <c:pt idx="57">
                  <c:v>5.8769230769230765</c:v>
                </c:pt>
                <c:pt idx="58">
                  <c:v>5.274358974358974</c:v>
                </c:pt>
                <c:pt idx="59">
                  <c:v>5.684615384615385</c:v>
                </c:pt>
                <c:pt idx="61">
                  <c:v>7.838461538461539</c:v>
                </c:pt>
                <c:pt idx="62">
                  <c:v>7.858974358974359</c:v>
                </c:pt>
                <c:pt idx="63">
                  <c:v>8.192307692307693</c:v>
                </c:pt>
                <c:pt idx="64">
                  <c:v>2.5641025641025643</c:v>
                </c:pt>
                <c:pt idx="65">
                  <c:v>15.038461538461538</c:v>
                </c:pt>
                <c:pt idx="66">
                  <c:v>6.033333333333333</c:v>
                </c:pt>
                <c:pt idx="67">
                  <c:v>15.307692307692307</c:v>
                </c:pt>
                <c:pt idx="68">
                  <c:v>11.215384615384615</c:v>
                </c:pt>
                <c:pt idx="69">
                  <c:v>11.341025641025642</c:v>
                </c:pt>
                <c:pt idx="70">
                  <c:v>6.938461538461539</c:v>
                </c:pt>
                <c:pt idx="71">
                  <c:v>5.5025641025641026</c:v>
                </c:pt>
                <c:pt idx="75">
                  <c:v>2.5641025641025643</c:v>
                </c:pt>
                <c:pt idx="77">
                  <c:v>7.74871794871795</c:v>
                </c:pt>
                <c:pt idx="78">
                  <c:v>7.443589743589744</c:v>
                </c:pt>
                <c:pt idx="79">
                  <c:v>7.243589743589743</c:v>
                </c:pt>
                <c:pt idx="80">
                  <c:v>6.464102564102563</c:v>
                </c:pt>
                <c:pt idx="81">
                  <c:v>7.046153846153846</c:v>
                </c:pt>
                <c:pt idx="82">
                  <c:v>6.674358974358974</c:v>
                </c:pt>
                <c:pt idx="83">
                  <c:v>6.351282051282051</c:v>
                </c:pt>
                <c:pt idx="84">
                  <c:v>5.235897435897436</c:v>
                </c:pt>
                <c:pt idx="90">
                  <c:v>2.5641025641025643</c:v>
                </c:pt>
              </c:numCache>
            </c:numRef>
          </c:val>
          <c:smooth val="0"/>
        </c:ser>
        <c:marker val="1"/>
        <c:axId val="20492657"/>
        <c:axId val="50216186"/>
      </c:lineChart>
      <c:dateAx>
        <c:axId val="2049265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1618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021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6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Mg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data'!$AN$8:$AN$98</c:f>
              <c:numCache>
                <c:ptCount val="91"/>
                <c:pt idx="0">
                  <c:v>24.483333333333334</c:v>
                </c:pt>
                <c:pt idx="1">
                  <c:v>26.333333333333332</c:v>
                </c:pt>
                <c:pt idx="2">
                  <c:v>28.733333333333334</c:v>
                </c:pt>
                <c:pt idx="3">
                  <c:v>30.108333333333334</c:v>
                </c:pt>
                <c:pt idx="4">
                  <c:v>35.275</c:v>
                </c:pt>
                <c:pt idx="6">
                  <c:v>27.891666666666666</c:v>
                </c:pt>
                <c:pt idx="7">
                  <c:v>24.316666666666666</c:v>
                </c:pt>
                <c:pt idx="8">
                  <c:v>29.458333333333332</c:v>
                </c:pt>
                <c:pt idx="9">
                  <c:v>28.766666666666666</c:v>
                </c:pt>
                <c:pt idx="11">
                  <c:v>26.375</c:v>
                </c:pt>
                <c:pt idx="13">
                  <c:v>25.275000000000002</c:v>
                </c:pt>
                <c:pt idx="14">
                  <c:v>24.158333333333335</c:v>
                </c:pt>
                <c:pt idx="15">
                  <c:v>30.35</c:v>
                </c:pt>
                <c:pt idx="16">
                  <c:v>28.28333333333333</c:v>
                </c:pt>
                <c:pt idx="17">
                  <c:v>27.758333333333333</c:v>
                </c:pt>
                <c:pt idx="18">
                  <c:v>27.008333333333333</c:v>
                </c:pt>
                <c:pt idx="19">
                  <c:v>24.541666666666668</c:v>
                </c:pt>
                <c:pt idx="20">
                  <c:v>28.116666666666664</c:v>
                </c:pt>
                <c:pt idx="21">
                  <c:v>30.875</c:v>
                </c:pt>
                <c:pt idx="22">
                  <c:v>29.475</c:v>
                </c:pt>
                <c:pt idx="23">
                  <c:v>28.758333333333333</c:v>
                </c:pt>
                <c:pt idx="27">
                  <c:v>27.8</c:v>
                </c:pt>
                <c:pt idx="28">
                  <c:v>28.558333333333334</c:v>
                </c:pt>
                <c:pt idx="29">
                  <c:v>22.500000000000004</c:v>
                </c:pt>
                <c:pt idx="30">
                  <c:v>22.500000000000004</c:v>
                </c:pt>
                <c:pt idx="31">
                  <c:v>30.833333333333336</c:v>
                </c:pt>
                <c:pt idx="32">
                  <c:v>28.725</c:v>
                </c:pt>
                <c:pt idx="33">
                  <c:v>30</c:v>
                </c:pt>
                <c:pt idx="34">
                  <c:v>24.166666666666668</c:v>
                </c:pt>
                <c:pt idx="35">
                  <c:v>31.391666666666666</c:v>
                </c:pt>
                <c:pt idx="36">
                  <c:v>29.791666666666664</c:v>
                </c:pt>
                <c:pt idx="37">
                  <c:v>28.816666666666666</c:v>
                </c:pt>
                <c:pt idx="38">
                  <c:v>28.85</c:v>
                </c:pt>
                <c:pt idx="39">
                  <c:v>29.799999999999997</c:v>
                </c:pt>
                <c:pt idx="40">
                  <c:v>33.95</c:v>
                </c:pt>
                <c:pt idx="41">
                  <c:v>30.133333333333333</c:v>
                </c:pt>
                <c:pt idx="42">
                  <c:v>31</c:v>
                </c:pt>
                <c:pt idx="43">
                  <c:v>41.94166666666666</c:v>
                </c:pt>
                <c:pt idx="44">
                  <c:v>38.86666666666667</c:v>
                </c:pt>
                <c:pt idx="46">
                  <c:v>24.058333333333334</c:v>
                </c:pt>
                <c:pt idx="47">
                  <c:v>26.06666666666667</c:v>
                </c:pt>
                <c:pt idx="48">
                  <c:v>25.041666666666668</c:v>
                </c:pt>
                <c:pt idx="50">
                  <c:v>21.7</c:v>
                </c:pt>
                <c:pt idx="51">
                  <c:v>33.45</c:v>
                </c:pt>
                <c:pt idx="52">
                  <c:v>23.53333333333333</c:v>
                </c:pt>
                <c:pt idx="53">
                  <c:v>38.88333333333333</c:v>
                </c:pt>
                <c:pt idx="54">
                  <c:v>37.475</c:v>
                </c:pt>
                <c:pt idx="55">
                  <c:v>40.30833333333334</c:v>
                </c:pt>
                <c:pt idx="56">
                  <c:v>24.783333333333335</c:v>
                </c:pt>
                <c:pt idx="57">
                  <c:v>29.791666666666664</c:v>
                </c:pt>
                <c:pt idx="58">
                  <c:v>30.15</c:v>
                </c:pt>
                <c:pt idx="59">
                  <c:v>28.34166666666667</c:v>
                </c:pt>
                <c:pt idx="61">
                  <c:v>29.383333333333333</c:v>
                </c:pt>
                <c:pt idx="62">
                  <c:v>35.05</c:v>
                </c:pt>
                <c:pt idx="63">
                  <c:v>34.13333333333333</c:v>
                </c:pt>
                <c:pt idx="64">
                  <c:v>34.69166666666667</c:v>
                </c:pt>
                <c:pt idx="65">
                  <c:v>33.88333333333333</c:v>
                </c:pt>
                <c:pt idx="66">
                  <c:v>38.1</c:v>
                </c:pt>
                <c:pt idx="67">
                  <c:v>28.391666666666666</c:v>
                </c:pt>
                <c:pt idx="68">
                  <c:v>34.4</c:v>
                </c:pt>
                <c:pt idx="69">
                  <c:v>41.75</c:v>
                </c:pt>
                <c:pt idx="70">
                  <c:v>36.2</c:v>
                </c:pt>
                <c:pt idx="71">
                  <c:v>36.525</c:v>
                </c:pt>
                <c:pt idx="75">
                  <c:v>10.65</c:v>
                </c:pt>
                <c:pt idx="77">
                  <c:v>20.508333333333333</c:v>
                </c:pt>
                <c:pt idx="78">
                  <c:v>28.05</c:v>
                </c:pt>
                <c:pt idx="79">
                  <c:v>39.5</c:v>
                </c:pt>
                <c:pt idx="80">
                  <c:v>35.391666666666666</c:v>
                </c:pt>
                <c:pt idx="81">
                  <c:v>47.96666666666666</c:v>
                </c:pt>
                <c:pt idx="82">
                  <c:v>47.83333333333333</c:v>
                </c:pt>
                <c:pt idx="83">
                  <c:v>26.825000000000003</c:v>
                </c:pt>
                <c:pt idx="84">
                  <c:v>20.775</c:v>
                </c:pt>
                <c:pt idx="90">
                  <c:v>24.2</c:v>
                </c:pt>
              </c:numCache>
            </c:numRef>
          </c:val>
          <c:smooth val="0"/>
        </c:ser>
        <c:marker val="1"/>
        <c:axId val="49292491"/>
        <c:axId val="40979236"/>
      </c:lineChart>
      <c:dateAx>
        <c:axId val="4929249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923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097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249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data'!$A$8:$A$52</c:f>
              <c:strCache>
                <c:ptCount val="45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</c:strCache>
            </c:strRef>
          </c:cat>
          <c:val>
            <c:numRef>
              <c:f>'Stream Gauge 8 data'!$AG$8:$AG$52</c:f>
              <c:numCache>
                <c:ptCount val="45"/>
                <c:pt idx="0">
                  <c:v>3.566666666666667</c:v>
                </c:pt>
                <c:pt idx="1">
                  <c:v>6.844444444444445</c:v>
                </c:pt>
                <c:pt idx="2">
                  <c:v>2.2222222222222223</c:v>
                </c:pt>
                <c:pt idx="3">
                  <c:v>2.2222222222222223</c:v>
                </c:pt>
                <c:pt idx="4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  <c:pt idx="8">
                  <c:v>12.644444444444444</c:v>
                </c:pt>
                <c:pt idx="9">
                  <c:v>2.4999999999999996</c:v>
                </c:pt>
                <c:pt idx="11">
                  <c:v>9.355555555555554</c:v>
                </c:pt>
                <c:pt idx="13">
                  <c:v>2.2222222222222223</c:v>
                </c:pt>
                <c:pt idx="14">
                  <c:v>2.2222222222222223</c:v>
                </c:pt>
                <c:pt idx="15">
                  <c:v>2.2222222222222223</c:v>
                </c:pt>
                <c:pt idx="16">
                  <c:v>2.2222222222222223</c:v>
                </c:pt>
                <c:pt idx="17">
                  <c:v>2.2222222222222223</c:v>
                </c:pt>
                <c:pt idx="18">
                  <c:v>2.2222222222222223</c:v>
                </c:pt>
                <c:pt idx="19">
                  <c:v>6.18888888888889</c:v>
                </c:pt>
                <c:pt idx="20">
                  <c:v>2.2222222222222223</c:v>
                </c:pt>
                <c:pt idx="21">
                  <c:v>2.2222222222222223</c:v>
                </c:pt>
                <c:pt idx="22">
                  <c:v>2.2222222222222223</c:v>
                </c:pt>
                <c:pt idx="23">
                  <c:v>2.2222222222222223</c:v>
                </c:pt>
                <c:pt idx="25">
                  <c:v>2.2222222222222223</c:v>
                </c:pt>
                <c:pt idx="27">
                  <c:v>2.2222222222222223</c:v>
                </c:pt>
                <c:pt idx="28">
                  <c:v>7.711111111111111</c:v>
                </c:pt>
                <c:pt idx="29">
                  <c:v>2.2222222222222223</c:v>
                </c:pt>
                <c:pt idx="30">
                  <c:v>2.2222222222222223</c:v>
                </c:pt>
                <c:pt idx="31">
                  <c:v>4.555555555555555</c:v>
                </c:pt>
                <c:pt idx="32">
                  <c:v>2.4755555555555553</c:v>
                </c:pt>
                <c:pt idx="33">
                  <c:v>2.2222222222222223</c:v>
                </c:pt>
                <c:pt idx="34">
                  <c:v>4.777777777777778</c:v>
                </c:pt>
                <c:pt idx="35">
                  <c:v>2.2222222222222223</c:v>
                </c:pt>
                <c:pt idx="36">
                  <c:v>2.2222222222222223</c:v>
                </c:pt>
                <c:pt idx="37">
                  <c:v>2.2222222222222223</c:v>
                </c:pt>
                <c:pt idx="38">
                  <c:v>2.2222222222222223</c:v>
                </c:pt>
                <c:pt idx="39">
                  <c:v>2.2222222222222223</c:v>
                </c:pt>
                <c:pt idx="40">
                  <c:v>2.3833333333333333</c:v>
                </c:pt>
                <c:pt idx="41">
                  <c:v>2.2222222222222223</c:v>
                </c:pt>
                <c:pt idx="42">
                  <c:v>2.2222222222222223</c:v>
                </c:pt>
                <c:pt idx="43">
                  <c:v>2.2222222222222223</c:v>
                </c:pt>
                <c:pt idx="44">
                  <c:v>14.01111111111111</c:v>
                </c:pt>
              </c:numCache>
            </c:numRef>
          </c:val>
          <c:smooth val="0"/>
        </c:ser>
        <c:marker val="1"/>
        <c:axId val="33268805"/>
        <c:axId val="30983790"/>
      </c:lineChart>
      <c:dateAx>
        <c:axId val="33268805"/>
        <c:scaling>
          <c:orientation val="minMax"/>
          <c:max val="39448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Macaulay Land Use Research Institute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83790"/>
        <c:crosses val="autoZero"/>
        <c:auto val="0"/>
        <c:baseTimeUnit val="days"/>
        <c:majorUnit val="12"/>
        <c:majorTimeUnit val="months"/>
        <c:minorUnit val="12"/>
        <c:minorTimeUnit val="months"/>
        <c:noMultiLvlLbl val="0"/>
      </c:dateAx>
      <c:valAx>
        <c:axId val="30983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Mn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data'!$AF$8:$AF$98</c:f>
              <c:numCache>
                <c:ptCount val="91"/>
                <c:pt idx="0">
                  <c:v>0.07272727272727272</c:v>
                </c:pt>
                <c:pt idx="1">
                  <c:v>0.07272727272727272</c:v>
                </c:pt>
                <c:pt idx="2">
                  <c:v>0.07272727272727272</c:v>
                </c:pt>
                <c:pt idx="3">
                  <c:v>0.07272727272727272</c:v>
                </c:pt>
                <c:pt idx="4">
                  <c:v>0.07272727272727272</c:v>
                </c:pt>
                <c:pt idx="6">
                  <c:v>0.07272727272727272</c:v>
                </c:pt>
                <c:pt idx="7">
                  <c:v>0.07272727272727272</c:v>
                </c:pt>
                <c:pt idx="8">
                  <c:v>0.07272727272727272</c:v>
                </c:pt>
                <c:pt idx="9">
                  <c:v>0.07272727272727272</c:v>
                </c:pt>
                <c:pt idx="11">
                  <c:v>0.07272727272727272</c:v>
                </c:pt>
                <c:pt idx="13">
                  <c:v>0.07272727272727272</c:v>
                </c:pt>
                <c:pt idx="14">
                  <c:v>0.07272727272727272</c:v>
                </c:pt>
                <c:pt idx="15">
                  <c:v>0.07272727272727272</c:v>
                </c:pt>
                <c:pt idx="16">
                  <c:v>0.07272727272727272</c:v>
                </c:pt>
                <c:pt idx="17">
                  <c:v>0.07272727272727272</c:v>
                </c:pt>
                <c:pt idx="18">
                  <c:v>0.07272727272727272</c:v>
                </c:pt>
                <c:pt idx="19">
                  <c:v>0.07272727272727272</c:v>
                </c:pt>
                <c:pt idx="20">
                  <c:v>0.07272727272727272</c:v>
                </c:pt>
                <c:pt idx="21">
                  <c:v>0.07272727272727272</c:v>
                </c:pt>
                <c:pt idx="22">
                  <c:v>0.07272727272727272</c:v>
                </c:pt>
                <c:pt idx="23">
                  <c:v>0.07272727272727272</c:v>
                </c:pt>
                <c:pt idx="25">
                  <c:v>0.07272727272727272</c:v>
                </c:pt>
                <c:pt idx="27">
                  <c:v>0.07272727272727272</c:v>
                </c:pt>
                <c:pt idx="28">
                  <c:v>0.07272727272727272</c:v>
                </c:pt>
                <c:pt idx="29">
                  <c:v>0.07272727272727272</c:v>
                </c:pt>
                <c:pt idx="30">
                  <c:v>0.07272727272727272</c:v>
                </c:pt>
                <c:pt idx="31">
                  <c:v>0.07272727272727272</c:v>
                </c:pt>
                <c:pt idx="32">
                  <c:v>0.07272727272727272</c:v>
                </c:pt>
                <c:pt idx="33">
                  <c:v>0.07272727272727272</c:v>
                </c:pt>
                <c:pt idx="34">
                  <c:v>0.07272727272727272</c:v>
                </c:pt>
                <c:pt idx="35">
                  <c:v>0.07272727272727272</c:v>
                </c:pt>
                <c:pt idx="36">
                  <c:v>0.07272727272727272</c:v>
                </c:pt>
                <c:pt idx="37">
                  <c:v>0.07272727272727272</c:v>
                </c:pt>
                <c:pt idx="38">
                  <c:v>0.07272727272727272</c:v>
                </c:pt>
                <c:pt idx="39">
                  <c:v>0.07272727272727272</c:v>
                </c:pt>
                <c:pt idx="40">
                  <c:v>0.07272727272727272</c:v>
                </c:pt>
                <c:pt idx="41">
                  <c:v>0.07272727272727272</c:v>
                </c:pt>
                <c:pt idx="42">
                  <c:v>0.07272727272727272</c:v>
                </c:pt>
                <c:pt idx="43">
                  <c:v>0.07272727272727272</c:v>
                </c:pt>
                <c:pt idx="44">
                  <c:v>0.07272727272727272</c:v>
                </c:pt>
                <c:pt idx="46">
                  <c:v>0.07272727272727272</c:v>
                </c:pt>
                <c:pt idx="47">
                  <c:v>0.07272727272727272</c:v>
                </c:pt>
                <c:pt idx="48">
                  <c:v>0.07272727272727272</c:v>
                </c:pt>
                <c:pt idx="50">
                  <c:v>0.07272727272727272</c:v>
                </c:pt>
                <c:pt idx="51">
                  <c:v>0.07272727272727272</c:v>
                </c:pt>
                <c:pt idx="52">
                  <c:v>0.07272727272727272</c:v>
                </c:pt>
                <c:pt idx="53">
                  <c:v>0.07272727272727272</c:v>
                </c:pt>
                <c:pt idx="54">
                  <c:v>0.07618181818181818</c:v>
                </c:pt>
                <c:pt idx="55">
                  <c:v>0.07272727272727272</c:v>
                </c:pt>
                <c:pt idx="56">
                  <c:v>0.07272727272727272</c:v>
                </c:pt>
                <c:pt idx="57">
                  <c:v>0.07272727272727272</c:v>
                </c:pt>
                <c:pt idx="58">
                  <c:v>0.07272727272727272</c:v>
                </c:pt>
                <c:pt idx="59">
                  <c:v>0.07272727272727272</c:v>
                </c:pt>
                <c:pt idx="61">
                  <c:v>0.07272727272727272</c:v>
                </c:pt>
                <c:pt idx="62">
                  <c:v>0.07272727272727272</c:v>
                </c:pt>
                <c:pt idx="63">
                  <c:v>0.07272727272727272</c:v>
                </c:pt>
                <c:pt idx="64">
                  <c:v>0.07272727272727272</c:v>
                </c:pt>
                <c:pt idx="65">
                  <c:v>0.07272727272727272</c:v>
                </c:pt>
                <c:pt idx="66">
                  <c:v>0.07272727272727272</c:v>
                </c:pt>
                <c:pt idx="67">
                  <c:v>0.07272727272727272</c:v>
                </c:pt>
                <c:pt idx="68">
                  <c:v>0.07272727272727272</c:v>
                </c:pt>
                <c:pt idx="69">
                  <c:v>0.07272727272727272</c:v>
                </c:pt>
                <c:pt idx="70">
                  <c:v>0.07272727272727272</c:v>
                </c:pt>
                <c:pt idx="71">
                  <c:v>0.07272727272727272</c:v>
                </c:pt>
                <c:pt idx="75">
                  <c:v>0.07385454545454545</c:v>
                </c:pt>
                <c:pt idx="77">
                  <c:v>0.07272727272727272</c:v>
                </c:pt>
                <c:pt idx="78">
                  <c:v>0.07272727272727272</c:v>
                </c:pt>
                <c:pt idx="79">
                  <c:v>0.07272727272727272</c:v>
                </c:pt>
                <c:pt idx="80">
                  <c:v>0.07272727272727272</c:v>
                </c:pt>
                <c:pt idx="81">
                  <c:v>0.07272727272727272</c:v>
                </c:pt>
                <c:pt idx="82">
                  <c:v>0.07272727272727272</c:v>
                </c:pt>
                <c:pt idx="83">
                  <c:v>0.07272727272727272</c:v>
                </c:pt>
                <c:pt idx="84">
                  <c:v>0.07272727272727272</c:v>
                </c:pt>
                <c:pt idx="90">
                  <c:v>0.07272727272727272</c:v>
                </c:pt>
              </c:numCache>
            </c:numRef>
          </c:val>
          <c:smooth val="0"/>
        </c:ser>
        <c:marker val="1"/>
        <c:axId val="10418655"/>
        <c:axId val="26659032"/>
      </c:lineChart>
      <c:dateAx>
        <c:axId val="1041865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903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665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Na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data'!$AO$8:$AO$98</c:f>
              <c:numCache>
                <c:ptCount val="91"/>
                <c:pt idx="0">
                  <c:v>119.3913043478261</c:v>
                </c:pt>
                <c:pt idx="1">
                  <c:v>121.60869565217392</c:v>
                </c:pt>
                <c:pt idx="2">
                  <c:v>118.43478260869567</c:v>
                </c:pt>
                <c:pt idx="3">
                  <c:v>120.82608695652173</c:v>
                </c:pt>
                <c:pt idx="4">
                  <c:v>118.30434782608697</c:v>
                </c:pt>
                <c:pt idx="6">
                  <c:v>104.91304347826086</c:v>
                </c:pt>
                <c:pt idx="7">
                  <c:v>113.69565217391306</c:v>
                </c:pt>
                <c:pt idx="8">
                  <c:v>112.65217391304348</c:v>
                </c:pt>
                <c:pt idx="9">
                  <c:v>112.6086956521739</c:v>
                </c:pt>
                <c:pt idx="11">
                  <c:v>105.17391304347825</c:v>
                </c:pt>
                <c:pt idx="13">
                  <c:v>119.82608695652173</c:v>
                </c:pt>
                <c:pt idx="14">
                  <c:v>121.21739130434781</c:v>
                </c:pt>
                <c:pt idx="15">
                  <c:v>120.73913043478261</c:v>
                </c:pt>
                <c:pt idx="16">
                  <c:v>119.43478260869566</c:v>
                </c:pt>
                <c:pt idx="17">
                  <c:v>121.21739130434781</c:v>
                </c:pt>
                <c:pt idx="18">
                  <c:v>123.86956521739131</c:v>
                </c:pt>
                <c:pt idx="19">
                  <c:v>114.56521739130433</c:v>
                </c:pt>
                <c:pt idx="20">
                  <c:v>119.56521739130436</c:v>
                </c:pt>
                <c:pt idx="21">
                  <c:v>124.8695652173913</c:v>
                </c:pt>
                <c:pt idx="22">
                  <c:v>124.60869565217392</c:v>
                </c:pt>
                <c:pt idx="23">
                  <c:v>121.95652173913044</c:v>
                </c:pt>
                <c:pt idx="27">
                  <c:v>104.39130434782608</c:v>
                </c:pt>
                <c:pt idx="28">
                  <c:v>112.39130434782608</c:v>
                </c:pt>
                <c:pt idx="29">
                  <c:v>112.17391304347827</c:v>
                </c:pt>
                <c:pt idx="30">
                  <c:v>96.08695652173913</c:v>
                </c:pt>
                <c:pt idx="31">
                  <c:v>121.30434782608695</c:v>
                </c:pt>
                <c:pt idx="32">
                  <c:v>137.26086956521738</c:v>
                </c:pt>
                <c:pt idx="33">
                  <c:v>116.95652173913044</c:v>
                </c:pt>
                <c:pt idx="34">
                  <c:v>93.04347826086958</c:v>
                </c:pt>
                <c:pt idx="35">
                  <c:v>142.04347826086956</c:v>
                </c:pt>
                <c:pt idx="36">
                  <c:v>139.95652173913044</c:v>
                </c:pt>
                <c:pt idx="37">
                  <c:v>196.52173913043478</c:v>
                </c:pt>
                <c:pt idx="38">
                  <c:v>184.04347826086956</c:v>
                </c:pt>
                <c:pt idx="39">
                  <c:v>128.1304347826087</c:v>
                </c:pt>
                <c:pt idx="40">
                  <c:v>127.60869565217392</c:v>
                </c:pt>
                <c:pt idx="41">
                  <c:v>132.6086956521739</c:v>
                </c:pt>
                <c:pt idx="42">
                  <c:v>120.43478260869566</c:v>
                </c:pt>
                <c:pt idx="43">
                  <c:v>133.91304347826087</c:v>
                </c:pt>
                <c:pt idx="44">
                  <c:v>119.5217391304348</c:v>
                </c:pt>
                <c:pt idx="46">
                  <c:v>110.8695652173913</c:v>
                </c:pt>
                <c:pt idx="47">
                  <c:v>121.69565217391303</c:v>
                </c:pt>
                <c:pt idx="48">
                  <c:v>112.56521739130434</c:v>
                </c:pt>
                <c:pt idx="50">
                  <c:v>100.65217391304347</c:v>
                </c:pt>
                <c:pt idx="51">
                  <c:v>116.43478260869566</c:v>
                </c:pt>
                <c:pt idx="52">
                  <c:v>107.43478260869566</c:v>
                </c:pt>
                <c:pt idx="53">
                  <c:v>152.7391304347826</c:v>
                </c:pt>
                <c:pt idx="54">
                  <c:v>194.2173913043478</c:v>
                </c:pt>
                <c:pt idx="55">
                  <c:v>168.8695652173913</c:v>
                </c:pt>
                <c:pt idx="56">
                  <c:v>111.30434782608697</c:v>
                </c:pt>
                <c:pt idx="57">
                  <c:v>126.5217391304348</c:v>
                </c:pt>
                <c:pt idx="58">
                  <c:v>137.3913043478261</c:v>
                </c:pt>
                <c:pt idx="59">
                  <c:v>126.34782608695652</c:v>
                </c:pt>
                <c:pt idx="61">
                  <c:v>134.82608695652172</c:v>
                </c:pt>
                <c:pt idx="62">
                  <c:v>147.3478260869565</c:v>
                </c:pt>
                <c:pt idx="63">
                  <c:v>161.34782608695653</c:v>
                </c:pt>
                <c:pt idx="64">
                  <c:v>150.34782608695653</c:v>
                </c:pt>
                <c:pt idx="65">
                  <c:v>150.95652173913044</c:v>
                </c:pt>
                <c:pt idx="66">
                  <c:v>159.3913043478261</c:v>
                </c:pt>
                <c:pt idx="67">
                  <c:v>151.52173913043478</c:v>
                </c:pt>
                <c:pt idx="68">
                  <c:v>147.91304347826087</c:v>
                </c:pt>
                <c:pt idx="69">
                  <c:v>178.7391304347826</c:v>
                </c:pt>
                <c:pt idx="70">
                  <c:v>145.82608695652175</c:v>
                </c:pt>
                <c:pt idx="71">
                  <c:v>153</c:v>
                </c:pt>
                <c:pt idx="75">
                  <c:v>40.152173913043484</c:v>
                </c:pt>
                <c:pt idx="77">
                  <c:v>91.60869565217392</c:v>
                </c:pt>
                <c:pt idx="78">
                  <c:v>109.26086956521738</c:v>
                </c:pt>
                <c:pt idx="79">
                  <c:v>158.2173913043478</c:v>
                </c:pt>
                <c:pt idx="80">
                  <c:v>150.39130434782606</c:v>
                </c:pt>
                <c:pt idx="81">
                  <c:v>200.26086956521738</c:v>
                </c:pt>
                <c:pt idx="82">
                  <c:v>180.1304347826087</c:v>
                </c:pt>
                <c:pt idx="83">
                  <c:v>110.21739130434784</c:v>
                </c:pt>
                <c:pt idx="84">
                  <c:v>105.95652173913042</c:v>
                </c:pt>
                <c:pt idx="90">
                  <c:v>118.2608695652174</c:v>
                </c:pt>
              </c:numCache>
            </c:numRef>
          </c:val>
          <c:smooth val="0"/>
        </c:ser>
        <c:marker val="1"/>
        <c:axId val="38604697"/>
        <c:axId val="11897954"/>
      </c:lineChart>
      <c:dateAx>
        <c:axId val="3860469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795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189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Na:Cl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725"/>
          <c:w val="0.9197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data'!$BU$8:$BU$98</c:f>
              <c:numCache>
                <c:ptCount val="91"/>
                <c:pt idx="0">
                  <c:v>1.620905993861099</c:v>
                </c:pt>
                <c:pt idx="1">
                  <c:v>1.6529337273111016</c:v>
                </c:pt>
                <c:pt idx="2">
                  <c:v>1.4298783688528278</c:v>
                </c:pt>
                <c:pt idx="3">
                  <c:v>1.3815462409272332</c:v>
                </c:pt>
                <c:pt idx="4">
                  <c:v>1.6327492799341656</c:v>
                </c:pt>
                <c:pt idx="6">
                  <c:v>1.4287768567078327</c:v>
                </c:pt>
                <c:pt idx="7">
                  <c:v>1.5084715034446385</c:v>
                </c:pt>
                <c:pt idx="8">
                  <c:v>1.151862718947275</c:v>
                </c:pt>
                <c:pt idx="9">
                  <c:v>1.4833663333933333</c:v>
                </c:pt>
                <c:pt idx="11">
                  <c:v>1.4486764882021799</c:v>
                </c:pt>
                <c:pt idx="13">
                  <c:v>1.4265010351966874</c:v>
                </c:pt>
                <c:pt idx="14">
                  <c:v>1.5034049240440022</c:v>
                </c:pt>
                <c:pt idx="15">
                  <c:v>1.7491181975237549</c:v>
                </c:pt>
                <c:pt idx="16">
                  <c:v>1.8611831662085252</c:v>
                </c:pt>
                <c:pt idx="17">
                  <c:v>1.532180821831771</c:v>
                </c:pt>
                <c:pt idx="18">
                  <c:v>1.478661249184412</c:v>
                </c:pt>
                <c:pt idx="19">
                  <c:v>1.4639586012032317</c:v>
                </c:pt>
                <c:pt idx="20">
                  <c:v>1.0125290608990207</c:v>
                </c:pt>
                <c:pt idx="21">
                  <c:v>1.5834908632640203</c:v>
                </c:pt>
                <c:pt idx="22">
                  <c:v>1.402799725900961</c:v>
                </c:pt>
                <c:pt idx="23">
                  <c:v>1.5051051695590851</c:v>
                </c:pt>
                <c:pt idx="27">
                  <c:v>1.4288993555627345</c:v>
                </c:pt>
                <c:pt idx="28">
                  <c:v>1.2867198705244796</c:v>
                </c:pt>
                <c:pt idx="29">
                  <c:v>1.412261495151705</c:v>
                </c:pt>
                <c:pt idx="30">
                  <c:v>1.3479132177398272</c:v>
                </c:pt>
                <c:pt idx="31">
                  <c:v>1.6217158800279006</c:v>
                </c:pt>
                <c:pt idx="32">
                  <c:v>1.7819474906463677</c:v>
                </c:pt>
                <c:pt idx="33">
                  <c:v>1.465096013195979</c:v>
                </c:pt>
                <c:pt idx="34">
                  <c:v>1.1303442343389223</c:v>
                </c:pt>
                <c:pt idx="35">
                  <c:v>1.6094275620363985</c:v>
                </c:pt>
                <c:pt idx="36">
                  <c:v>1.772883916348015</c:v>
                </c:pt>
                <c:pt idx="37">
                  <c:v>2.4287644313436503</c:v>
                </c:pt>
                <c:pt idx="38">
                  <c:v>2.2343120843324438</c:v>
                </c:pt>
                <c:pt idx="39">
                  <c:v>1.6289739256779165</c:v>
                </c:pt>
                <c:pt idx="40">
                  <c:v>1.711883613578416</c:v>
                </c:pt>
                <c:pt idx="41">
                  <c:v>1.6065435610336056</c:v>
                </c:pt>
                <c:pt idx="42">
                  <c:v>1.45406976805225</c:v>
                </c:pt>
                <c:pt idx="43">
                  <c:v>1.563465381859741</c:v>
                </c:pt>
                <c:pt idx="44">
                  <c:v>1.0293456864087642</c:v>
                </c:pt>
                <c:pt idx="46">
                  <c:v>0.8114669139708689</c:v>
                </c:pt>
                <c:pt idx="47">
                  <c:v>1.5964572061795186</c:v>
                </c:pt>
                <c:pt idx="48">
                  <c:v>1.5480481763047746</c:v>
                </c:pt>
                <c:pt idx="50">
                  <c:v>1.334403820816864</c:v>
                </c:pt>
                <c:pt idx="51">
                  <c:v>0.7846009609750381</c:v>
                </c:pt>
                <c:pt idx="52">
                  <c:v>1.4146792292341412</c:v>
                </c:pt>
                <c:pt idx="53">
                  <c:v>1.9085575027552268</c:v>
                </c:pt>
                <c:pt idx="54">
                  <c:v>2.159342025302469</c:v>
                </c:pt>
                <c:pt idx="55">
                  <c:v>2.0144631160902167</c:v>
                </c:pt>
                <c:pt idx="56">
                  <c:v>0.980531631994222</c:v>
                </c:pt>
                <c:pt idx="57">
                  <c:v>1.2452927079767204</c:v>
                </c:pt>
                <c:pt idx="58">
                  <c:v>1.7366181481307017</c:v>
                </c:pt>
                <c:pt idx="59">
                  <c:v>1.5770948334677168</c:v>
                </c:pt>
                <c:pt idx="61">
                  <c:v>1.7509881422924898</c:v>
                </c:pt>
                <c:pt idx="62">
                  <c:v>2.012948443810881</c:v>
                </c:pt>
                <c:pt idx="63">
                  <c:v>1.8442762616079291</c:v>
                </c:pt>
                <c:pt idx="64">
                  <c:v>1.8290489791600553</c:v>
                </c:pt>
                <c:pt idx="65">
                  <c:v>1.7054481151935332</c:v>
                </c:pt>
                <c:pt idx="66">
                  <c:v>1.943796394485684</c:v>
                </c:pt>
                <c:pt idx="67">
                  <c:v>1.391201697157717</c:v>
                </c:pt>
                <c:pt idx="68">
                  <c:v>1.5735430157261796</c:v>
                </c:pt>
                <c:pt idx="69">
                  <c:v>2.585070068271649</c:v>
                </c:pt>
                <c:pt idx="70">
                  <c:v>1.8215249976724703</c:v>
                </c:pt>
                <c:pt idx="71">
                  <c:v>1.8257756563245824</c:v>
                </c:pt>
                <c:pt idx="75">
                  <c:v>1.8596348907721607</c:v>
                </c:pt>
                <c:pt idx="77">
                  <c:v>1.7331374853113983</c:v>
                </c:pt>
                <c:pt idx="78">
                  <c:v>1.6597788345410627</c:v>
                </c:pt>
                <c:pt idx="79">
                  <c:v>1.8739792540278082</c:v>
                </c:pt>
                <c:pt idx="80">
                  <c:v>2.18773717879215</c:v>
                </c:pt>
                <c:pt idx="81">
                  <c:v>2.7836101806126328</c:v>
                </c:pt>
                <c:pt idx="82">
                  <c:v>2.2694619213071645</c:v>
                </c:pt>
                <c:pt idx="83">
                  <c:v>1.5027692620382445</c:v>
                </c:pt>
                <c:pt idx="84">
                  <c:v>1.4710346135936394</c:v>
                </c:pt>
                <c:pt idx="90">
                  <c:v>1.6321492250720069</c:v>
                </c:pt>
              </c:numCache>
            </c:numRef>
          </c:val>
          <c:smooth val="0"/>
        </c:ser>
        <c:marker val="1"/>
        <c:axId val="39972723"/>
        <c:axId val="24210188"/>
      </c:lineChart>
      <c:dateAx>
        <c:axId val="3997272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42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Na:Cl ratio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27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data'!$AI$8:$AI$98</c:f>
              <c:numCache>
                <c:ptCount val="91"/>
                <c:pt idx="0">
                  <c:v>1.5</c:v>
                </c:pt>
                <c:pt idx="1">
                  <c:v>1.7214285714285715</c:v>
                </c:pt>
                <c:pt idx="2">
                  <c:v>2.785714285714286</c:v>
                </c:pt>
                <c:pt idx="3">
                  <c:v>0.7142857142857143</c:v>
                </c:pt>
                <c:pt idx="4">
                  <c:v>1.0214285714285714</c:v>
                </c:pt>
                <c:pt idx="6">
                  <c:v>1.1714285714285715</c:v>
                </c:pt>
                <c:pt idx="7">
                  <c:v>1.292857142857143</c:v>
                </c:pt>
                <c:pt idx="8">
                  <c:v>0.7142857142857143</c:v>
                </c:pt>
                <c:pt idx="9">
                  <c:v>0.7142857142857143</c:v>
                </c:pt>
                <c:pt idx="11">
                  <c:v>0.7142857142857143</c:v>
                </c:pt>
                <c:pt idx="13">
                  <c:v>3.45</c:v>
                </c:pt>
                <c:pt idx="14">
                  <c:v>3.4000000000000004</c:v>
                </c:pt>
                <c:pt idx="15">
                  <c:v>4.607142857142858</c:v>
                </c:pt>
                <c:pt idx="16">
                  <c:v>0.7142857142857143</c:v>
                </c:pt>
                <c:pt idx="17">
                  <c:v>0.7142857142857143</c:v>
                </c:pt>
                <c:pt idx="18">
                  <c:v>0.7142857142857143</c:v>
                </c:pt>
                <c:pt idx="19">
                  <c:v>4.407142857142857</c:v>
                </c:pt>
                <c:pt idx="20">
                  <c:v>0.7142857142857143</c:v>
                </c:pt>
                <c:pt idx="21">
                  <c:v>0.7285714285714285</c:v>
                </c:pt>
                <c:pt idx="22">
                  <c:v>0.7785714285714286</c:v>
                </c:pt>
                <c:pt idx="23">
                  <c:v>0.7142857142857143</c:v>
                </c:pt>
                <c:pt idx="25">
                  <c:v>2.4785714285714286</c:v>
                </c:pt>
                <c:pt idx="27">
                  <c:v>0.7142857142857143</c:v>
                </c:pt>
                <c:pt idx="28">
                  <c:v>1.2142857142857144</c:v>
                </c:pt>
                <c:pt idx="29">
                  <c:v>2</c:v>
                </c:pt>
                <c:pt idx="30">
                  <c:v>1.6428571428571428</c:v>
                </c:pt>
                <c:pt idx="31">
                  <c:v>1.2857142857142856</c:v>
                </c:pt>
                <c:pt idx="32">
                  <c:v>0.8571428571428572</c:v>
                </c:pt>
                <c:pt idx="33">
                  <c:v>0.7142857142857143</c:v>
                </c:pt>
                <c:pt idx="34">
                  <c:v>0.7142857142857143</c:v>
                </c:pt>
                <c:pt idx="35">
                  <c:v>0.7142857142857143</c:v>
                </c:pt>
                <c:pt idx="36">
                  <c:v>0.7142857142857143</c:v>
                </c:pt>
                <c:pt idx="37">
                  <c:v>0.7142857142857143</c:v>
                </c:pt>
                <c:pt idx="38">
                  <c:v>2.357142857142857</c:v>
                </c:pt>
                <c:pt idx="39">
                  <c:v>4.571428571428572</c:v>
                </c:pt>
                <c:pt idx="40">
                  <c:v>3.857142857142857</c:v>
                </c:pt>
                <c:pt idx="41">
                  <c:v>3.071428571428571</c:v>
                </c:pt>
                <c:pt idx="42">
                  <c:v>0.7142857142857143</c:v>
                </c:pt>
                <c:pt idx="43">
                  <c:v>1.5</c:v>
                </c:pt>
                <c:pt idx="44">
                  <c:v>1.2142857142857144</c:v>
                </c:pt>
                <c:pt idx="46">
                  <c:v>0.8571428571428572</c:v>
                </c:pt>
                <c:pt idx="47">
                  <c:v>1</c:v>
                </c:pt>
                <c:pt idx="48">
                  <c:v>0.7142857142857143</c:v>
                </c:pt>
                <c:pt idx="50">
                  <c:v>0.7142857142857143</c:v>
                </c:pt>
                <c:pt idx="51">
                  <c:v>1.2857142857142856</c:v>
                </c:pt>
                <c:pt idx="52">
                  <c:v>0.7142857142857143</c:v>
                </c:pt>
                <c:pt idx="53">
                  <c:v>3.5714285714285716</c:v>
                </c:pt>
                <c:pt idx="54">
                  <c:v>4.714285714285714</c:v>
                </c:pt>
                <c:pt idx="55">
                  <c:v>1.8571428571428572</c:v>
                </c:pt>
                <c:pt idx="56">
                  <c:v>0.7142857142857143</c:v>
                </c:pt>
                <c:pt idx="57">
                  <c:v>0.7142857142857143</c:v>
                </c:pt>
                <c:pt idx="58">
                  <c:v>0.9285714285714286</c:v>
                </c:pt>
                <c:pt idx="59">
                  <c:v>0.7142857142857143</c:v>
                </c:pt>
                <c:pt idx="61">
                  <c:v>0.7142857142857143</c:v>
                </c:pt>
                <c:pt idx="62">
                  <c:v>0.7142857142857143</c:v>
                </c:pt>
                <c:pt idx="63">
                  <c:v>1.4285714285714286</c:v>
                </c:pt>
                <c:pt idx="64">
                  <c:v>0.7142857142857143</c:v>
                </c:pt>
                <c:pt idx="65">
                  <c:v>3.2142857142857144</c:v>
                </c:pt>
                <c:pt idx="66">
                  <c:v>0.7142857142857143</c:v>
                </c:pt>
                <c:pt idx="67">
                  <c:v>3</c:v>
                </c:pt>
                <c:pt idx="68">
                  <c:v>2.6428571428571423</c:v>
                </c:pt>
                <c:pt idx="69">
                  <c:v>1.0714285714285714</c:v>
                </c:pt>
                <c:pt idx="70">
                  <c:v>0.7142857142857143</c:v>
                </c:pt>
                <c:pt idx="71">
                  <c:v>0.7142857142857143</c:v>
                </c:pt>
                <c:pt idx="75">
                  <c:v>0.7142857142857143</c:v>
                </c:pt>
                <c:pt idx="77">
                  <c:v>0.9285714285714286</c:v>
                </c:pt>
                <c:pt idx="78">
                  <c:v>0.7142857142857143</c:v>
                </c:pt>
                <c:pt idx="79">
                  <c:v>0.7142857142857143</c:v>
                </c:pt>
                <c:pt idx="80">
                  <c:v>0.7142857142857143</c:v>
                </c:pt>
                <c:pt idx="81">
                  <c:v>1.6428571428571428</c:v>
                </c:pt>
                <c:pt idx="82">
                  <c:v>1.2142857142857144</c:v>
                </c:pt>
                <c:pt idx="83">
                  <c:v>0.7142857142857143</c:v>
                </c:pt>
                <c:pt idx="84">
                  <c:v>0.7142857142857143</c:v>
                </c:pt>
                <c:pt idx="90">
                  <c:v>0.7142857142857143</c:v>
                </c:pt>
              </c:numCache>
            </c:numRef>
          </c:val>
          <c:smooth val="0"/>
        </c:ser>
        <c:marker val="1"/>
        <c:axId val="16565101"/>
        <c:axId val="14868182"/>
      </c:lineChart>
      <c:dateAx>
        <c:axId val="1656510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818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486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0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data'!$AJ$8:$AJ$98</c:f>
              <c:numCache>
                <c:ptCount val="91"/>
                <c:pt idx="0">
                  <c:v>5.142857142857142</c:v>
                </c:pt>
                <c:pt idx="1">
                  <c:v>4.392142857142858</c:v>
                </c:pt>
                <c:pt idx="2">
                  <c:v>6.128571428571428</c:v>
                </c:pt>
                <c:pt idx="3">
                  <c:v>5.07</c:v>
                </c:pt>
                <c:pt idx="4">
                  <c:v>4.904285714285714</c:v>
                </c:pt>
                <c:pt idx="6">
                  <c:v>5.299285714285714</c:v>
                </c:pt>
                <c:pt idx="7">
                  <c:v>5.654285714285714</c:v>
                </c:pt>
                <c:pt idx="8">
                  <c:v>4.0164285714285715</c:v>
                </c:pt>
                <c:pt idx="9">
                  <c:v>6.323571428571428</c:v>
                </c:pt>
                <c:pt idx="11">
                  <c:v>3.295</c:v>
                </c:pt>
                <c:pt idx="13">
                  <c:v>5.626428571428572</c:v>
                </c:pt>
                <c:pt idx="14">
                  <c:v>5.771428571428571</c:v>
                </c:pt>
                <c:pt idx="15">
                  <c:v>3.7364285714285717</c:v>
                </c:pt>
                <c:pt idx="16">
                  <c:v>5.865</c:v>
                </c:pt>
                <c:pt idx="17">
                  <c:v>5.0928571428571425</c:v>
                </c:pt>
                <c:pt idx="18">
                  <c:v>9.657142857142855</c:v>
                </c:pt>
                <c:pt idx="19">
                  <c:v>3.5</c:v>
                </c:pt>
                <c:pt idx="20">
                  <c:v>4.942857142857143</c:v>
                </c:pt>
                <c:pt idx="21">
                  <c:v>4.049285714285714</c:v>
                </c:pt>
                <c:pt idx="22">
                  <c:v>5.594285714285714</c:v>
                </c:pt>
                <c:pt idx="23">
                  <c:v>7.0928571428571425</c:v>
                </c:pt>
                <c:pt idx="25">
                  <c:v>1.7857142857142858</c:v>
                </c:pt>
                <c:pt idx="27">
                  <c:v>4.331428571428571</c:v>
                </c:pt>
                <c:pt idx="28">
                  <c:v>3.015764285714286</c:v>
                </c:pt>
                <c:pt idx="29">
                  <c:v>3.357142857142857</c:v>
                </c:pt>
                <c:pt idx="30">
                  <c:v>4.2142857142857135</c:v>
                </c:pt>
                <c:pt idx="31">
                  <c:v>5.714285714285714</c:v>
                </c:pt>
                <c:pt idx="32">
                  <c:v>5.642857142857143</c:v>
                </c:pt>
                <c:pt idx="33">
                  <c:v>4.5</c:v>
                </c:pt>
                <c:pt idx="34">
                  <c:v>4.357142857142857</c:v>
                </c:pt>
                <c:pt idx="35">
                  <c:v>6.397857142857142</c:v>
                </c:pt>
                <c:pt idx="36">
                  <c:v>6</c:v>
                </c:pt>
                <c:pt idx="37">
                  <c:v>3.6428571428571423</c:v>
                </c:pt>
                <c:pt idx="38">
                  <c:v>3.4542857142857146</c:v>
                </c:pt>
                <c:pt idx="39">
                  <c:v>2.915</c:v>
                </c:pt>
                <c:pt idx="40">
                  <c:v>2.496428571428572</c:v>
                </c:pt>
                <c:pt idx="41">
                  <c:v>5.720000000000001</c:v>
                </c:pt>
                <c:pt idx="42">
                  <c:v>3.448142857142857</c:v>
                </c:pt>
                <c:pt idx="43">
                  <c:v>6.269585714285714</c:v>
                </c:pt>
                <c:pt idx="44">
                  <c:v>2.5328571428571425</c:v>
                </c:pt>
                <c:pt idx="46">
                  <c:v>4.892857142857143</c:v>
                </c:pt>
                <c:pt idx="47">
                  <c:v>3.95</c:v>
                </c:pt>
                <c:pt idx="48">
                  <c:v>3.7792857142857144</c:v>
                </c:pt>
                <c:pt idx="50">
                  <c:v>4.6899999999999995</c:v>
                </c:pt>
                <c:pt idx="51">
                  <c:v>5.998571428571428</c:v>
                </c:pt>
                <c:pt idx="52">
                  <c:v>3.5500000000000003</c:v>
                </c:pt>
                <c:pt idx="53">
                  <c:v>3.627142857142857</c:v>
                </c:pt>
                <c:pt idx="54">
                  <c:v>3.395</c:v>
                </c:pt>
                <c:pt idx="55">
                  <c:v>5.982142857142858</c:v>
                </c:pt>
                <c:pt idx="56">
                  <c:v>4.39</c:v>
                </c:pt>
                <c:pt idx="57">
                  <c:v>4.759285714285714</c:v>
                </c:pt>
                <c:pt idx="58">
                  <c:v>2.8992857142857145</c:v>
                </c:pt>
                <c:pt idx="59">
                  <c:v>2.5599999999999996</c:v>
                </c:pt>
                <c:pt idx="61">
                  <c:v>3.0785714285714283</c:v>
                </c:pt>
                <c:pt idx="62">
                  <c:v>4.775714285714286</c:v>
                </c:pt>
                <c:pt idx="63">
                  <c:v>4.300714285714285</c:v>
                </c:pt>
                <c:pt idx="64">
                  <c:v>4.232857142857143</c:v>
                </c:pt>
                <c:pt idx="65">
                  <c:v>2.737142857142857</c:v>
                </c:pt>
                <c:pt idx="66">
                  <c:v>2.3085714285714283</c:v>
                </c:pt>
                <c:pt idx="67">
                  <c:v>2.5742857142857143</c:v>
                </c:pt>
                <c:pt idx="68">
                  <c:v>2.9785714285714286</c:v>
                </c:pt>
                <c:pt idx="69">
                  <c:v>2.0185714285714287</c:v>
                </c:pt>
                <c:pt idx="70">
                  <c:v>2.5942857142857143</c:v>
                </c:pt>
                <c:pt idx="71">
                  <c:v>3.1864285714285714</c:v>
                </c:pt>
                <c:pt idx="75">
                  <c:v>1.7857142857142858</c:v>
                </c:pt>
                <c:pt idx="77">
                  <c:v>2.434285714285714</c:v>
                </c:pt>
                <c:pt idx="78">
                  <c:v>1.9621428571428572</c:v>
                </c:pt>
                <c:pt idx="79">
                  <c:v>3.595</c:v>
                </c:pt>
                <c:pt idx="80">
                  <c:v>2.5164285714285715</c:v>
                </c:pt>
                <c:pt idx="81">
                  <c:v>2.2399999999999998</c:v>
                </c:pt>
                <c:pt idx="82">
                  <c:v>1.7857142857142858</c:v>
                </c:pt>
                <c:pt idx="83">
                  <c:v>2.4628571428571426</c:v>
                </c:pt>
                <c:pt idx="84">
                  <c:v>2.105714285714286</c:v>
                </c:pt>
                <c:pt idx="90">
                  <c:v>2.6392857142857142</c:v>
                </c:pt>
              </c:numCache>
            </c:numRef>
          </c:val>
          <c:smooth val="0"/>
        </c:ser>
        <c:marker val="1"/>
        <c:axId val="66704775"/>
        <c:axId val="63472064"/>
      </c:lineChart>
      <c:dateAx>
        <c:axId val="6670477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206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347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47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Alkalinity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data'!$BT$8:$BT$98</c:f>
              <c:numCache>
                <c:ptCount val="91"/>
                <c:pt idx="0">
                  <c:v>46.86252229654404</c:v>
                </c:pt>
                <c:pt idx="1">
                  <c:v>56.84313704411531</c:v>
                </c:pt>
                <c:pt idx="2">
                  <c:v>46.07209487975794</c:v>
                </c:pt>
                <c:pt idx="3">
                  <c:v>42.026700509635276</c:v>
                </c:pt>
                <c:pt idx="4">
                  <c:v>64.74150899824815</c:v>
                </c:pt>
                <c:pt idx="6">
                  <c:v>40.149192745660145</c:v>
                </c:pt>
                <c:pt idx="7">
                  <c:v>50.066316093326975</c:v>
                </c:pt>
                <c:pt idx="8">
                  <c:v>39.1034697005893</c:v>
                </c:pt>
                <c:pt idx="9">
                  <c:v>47.173498765727004</c:v>
                </c:pt>
                <c:pt idx="11">
                  <c:v>49.55705406911926</c:v>
                </c:pt>
                <c:pt idx="13">
                  <c:v>46.91026735945212</c:v>
                </c:pt>
                <c:pt idx="14">
                  <c:v>45.08787207357861</c:v>
                </c:pt>
                <c:pt idx="15">
                  <c:v>67.68916248606469</c:v>
                </c:pt>
                <c:pt idx="16">
                  <c:v>60.98671942188247</c:v>
                </c:pt>
                <c:pt idx="17">
                  <c:v>51.78899844720496</c:v>
                </c:pt>
                <c:pt idx="18">
                  <c:v>45.51355789138398</c:v>
                </c:pt>
                <c:pt idx="19">
                  <c:v>46.63602325211019</c:v>
                </c:pt>
                <c:pt idx="20">
                  <c:v>9.307767757604722</c:v>
                </c:pt>
                <c:pt idx="21">
                  <c:v>60.81903408186017</c:v>
                </c:pt>
                <c:pt idx="22">
                  <c:v>47.252344919573176</c:v>
                </c:pt>
                <c:pt idx="23">
                  <c:v>47.79374701385569</c:v>
                </c:pt>
                <c:pt idx="27">
                  <c:v>40.80641881669054</c:v>
                </c:pt>
                <c:pt idx="28">
                  <c:v>43.00484592291764</c:v>
                </c:pt>
                <c:pt idx="29">
                  <c:v>36.67185260391784</c:v>
                </c:pt>
                <c:pt idx="30">
                  <c:v>31.00843088071349</c:v>
                </c:pt>
                <c:pt idx="31">
                  <c:v>63.751600573339715</c:v>
                </c:pt>
                <c:pt idx="32">
                  <c:v>67.11219740404522</c:v>
                </c:pt>
                <c:pt idx="33">
                  <c:v>47.54301441312309</c:v>
                </c:pt>
                <c:pt idx="34">
                  <c:v>21.22942148431281</c:v>
                </c:pt>
                <c:pt idx="35">
                  <c:v>67.66690774804906</c:v>
                </c:pt>
                <c:pt idx="36">
                  <c:v>78.71398510909381</c:v>
                </c:pt>
                <c:pt idx="37">
                  <c:v>140.03927576047144</c:v>
                </c:pt>
                <c:pt idx="38">
                  <c:v>126.32324474438605</c:v>
                </c:pt>
                <c:pt idx="39">
                  <c:v>70.33941372033762</c:v>
                </c:pt>
                <c:pt idx="40">
                  <c:v>84.29957019429845</c:v>
                </c:pt>
                <c:pt idx="41">
                  <c:v>68.50680004777831</c:v>
                </c:pt>
                <c:pt idx="42">
                  <c:v>61.44137853360408</c:v>
                </c:pt>
                <c:pt idx="43">
                  <c:v>85.19289938485429</c:v>
                </c:pt>
                <c:pt idx="44">
                  <c:v>48.487609093804764</c:v>
                </c:pt>
                <c:pt idx="46">
                  <c:v>-27.668658225832132</c:v>
                </c:pt>
                <c:pt idx="47">
                  <c:v>57.06637561713646</c:v>
                </c:pt>
                <c:pt idx="48">
                  <c:v>48.99289596273289</c:v>
                </c:pt>
                <c:pt idx="50">
                  <c:v>26.37267299729254</c:v>
                </c:pt>
                <c:pt idx="51">
                  <c:v>-11.650936255773217</c:v>
                </c:pt>
                <c:pt idx="52">
                  <c:v>38.623111363274404</c:v>
                </c:pt>
                <c:pt idx="53">
                  <c:v>121.44200589265802</c:v>
                </c:pt>
                <c:pt idx="54">
                  <c:v>150.63834826405474</c:v>
                </c:pt>
                <c:pt idx="55">
                  <c:v>128.86750477783087</c:v>
                </c:pt>
                <c:pt idx="56">
                  <c:v>-0.3007712215320737</c:v>
                </c:pt>
                <c:pt idx="57">
                  <c:v>41.8135431597388</c:v>
                </c:pt>
                <c:pt idx="58">
                  <c:v>76.68334189361363</c:v>
                </c:pt>
                <c:pt idx="59">
                  <c:v>66.02607242395285</c:v>
                </c:pt>
                <c:pt idx="61">
                  <c:v>82.34181039974517</c:v>
                </c:pt>
                <c:pt idx="62">
                  <c:v>106.92108616021656</c:v>
                </c:pt>
                <c:pt idx="63">
                  <c:v>102.582038541169</c:v>
                </c:pt>
                <c:pt idx="64">
                  <c:v>93.03573817486864</c:v>
                </c:pt>
                <c:pt idx="65">
                  <c:v>104.16313803949674</c:v>
                </c:pt>
                <c:pt idx="66">
                  <c:v>119.05106625258802</c:v>
                </c:pt>
                <c:pt idx="67">
                  <c:v>73.33127667622233</c:v>
                </c:pt>
                <c:pt idx="68">
                  <c:v>87.82235666507404</c:v>
                </c:pt>
                <c:pt idx="69">
                  <c:v>161.2262275043797</c:v>
                </c:pt>
                <c:pt idx="70">
                  <c:v>98.46936992355472</c:v>
                </c:pt>
                <c:pt idx="71">
                  <c:v>104.42863553113551</c:v>
                </c:pt>
                <c:pt idx="75">
                  <c:v>31.61913362000319</c:v>
                </c:pt>
                <c:pt idx="77">
                  <c:v>59.878068362796654</c:v>
                </c:pt>
                <c:pt idx="78">
                  <c:v>73.39624502309285</c:v>
                </c:pt>
                <c:pt idx="79">
                  <c:v>116.65615961936615</c:v>
                </c:pt>
                <c:pt idx="80">
                  <c:v>117.17153786430958</c:v>
                </c:pt>
                <c:pt idx="81">
                  <c:v>191.42833293518075</c:v>
                </c:pt>
                <c:pt idx="82">
                  <c:v>151.86598423315814</c:v>
                </c:pt>
                <c:pt idx="83">
                  <c:v>54.87420906991561</c:v>
                </c:pt>
                <c:pt idx="84">
                  <c:v>29.56938346074213</c:v>
                </c:pt>
                <c:pt idx="90">
                  <c:v>56.51354355789138</c:v>
                </c:pt>
              </c:numCache>
            </c:numRef>
          </c:val>
          <c:smooth val="0"/>
        </c:ser>
        <c:marker val="1"/>
        <c:axId val="42308301"/>
        <c:axId val="45230390"/>
      </c:lineChart>
      <c:dateAx>
        <c:axId val="4230830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0390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523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830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pH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725"/>
          <c:w val="0.9197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data'!$R$8:$R$98</c:f>
              <c:numCache>
                <c:ptCount val="91"/>
                <c:pt idx="0">
                  <c:v>5.94</c:v>
                </c:pt>
                <c:pt idx="1">
                  <c:v>6.13</c:v>
                </c:pt>
                <c:pt idx="2">
                  <c:v>6.42</c:v>
                </c:pt>
                <c:pt idx="3">
                  <c:v>6.51</c:v>
                </c:pt>
                <c:pt idx="4">
                  <c:v>6.75</c:v>
                </c:pt>
                <c:pt idx="6">
                  <c:v>6.19</c:v>
                </c:pt>
                <c:pt idx="7">
                  <c:v>6.27</c:v>
                </c:pt>
                <c:pt idx="8">
                  <c:v>6.17</c:v>
                </c:pt>
                <c:pt idx="9">
                  <c:v>6.39</c:v>
                </c:pt>
                <c:pt idx="11">
                  <c:v>6.18</c:v>
                </c:pt>
                <c:pt idx="13">
                  <c:v>6.37</c:v>
                </c:pt>
                <c:pt idx="14">
                  <c:v>6.4</c:v>
                </c:pt>
                <c:pt idx="15">
                  <c:v>6.37</c:v>
                </c:pt>
                <c:pt idx="16">
                  <c:v>6.36</c:v>
                </c:pt>
                <c:pt idx="17">
                  <c:v>6.28</c:v>
                </c:pt>
                <c:pt idx="18">
                  <c:v>6.25</c:v>
                </c:pt>
                <c:pt idx="19">
                  <c:v>6.11</c:v>
                </c:pt>
                <c:pt idx="20">
                  <c:v>6.34</c:v>
                </c:pt>
                <c:pt idx="21">
                  <c:v>6.21</c:v>
                </c:pt>
                <c:pt idx="22">
                  <c:v>6.29</c:v>
                </c:pt>
                <c:pt idx="23">
                  <c:v>6.17</c:v>
                </c:pt>
                <c:pt idx="25">
                  <c:v>5.77</c:v>
                </c:pt>
                <c:pt idx="27">
                  <c:v>6.26</c:v>
                </c:pt>
                <c:pt idx="28">
                  <c:v>5.99</c:v>
                </c:pt>
                <c:pt idx="29">
                  <c:v>6.47</c:v>
                </c:pt>
                <c:pt idx="30">
                  <c:v>6.14</c:v>
                </c:pt>
                <c:pt idx="31">
                  <c:v>6.02</c:v>
                </c:pt>
                <c:pt idx="32">
                  <c:v>5.98</c:v>
                </c:pt>
                <c:pt idx="33">
                  <c:v>6.47</c:v>
                </c:pt>
                <c:pt idx="34">
                  <c:v>5.96</c:v>
                </c:pt>
                <c:pt idx="35">
                  <c:v>6.07</c:v>
                </c:pt>
                <c:pt idx="36">
                  <c:v>6.12</c:v>
                </c:pt>
                <c:pt idx="37">
                  <c:v>6.27</c:v>
                </c:pt>
                <c:pt idx="38">
                  <c:v>6</c:v>
                </c:pt>
                <c:pt idx="39">
                  <c:v>6.12</c:v>
                </c:pt>
                <c:pt idx="40">
                  <c:v>6.11</c:v>
                </c:pt>
                <c:pt idx="41">
                  <c:v>6.07</c:v>
                </c:pt>
                <c:pt idx="42">
                  <c:v>6.11</c:v>
                </c:pt>
                <c:pt idx="43">
                  <c:v>6.14</c:v>
                </c:pt>
                <c:pt idx="44">
                  <c:v>5.94</c:v>
                </c:pt>
                <c:pt idx="46">
                  <c:v>6.19</c:v>
                </c:pt>
                <c:pt idx="47">
                  <c:v>6.35</c:v>
                </c:pt>
                <c:pt idx="48">
                  <c:v>6.32</c:v>
                </c:pt>
                <c:pt idx="50">
                  <c:v>6.19</c:v>
                </c:pt>
                <c:pt idx="51">
                  <c:v>6.29</c:v>
                </c:pt>
                <c:pt idx="52">
                  <c:v>6.28</c:v>
                </c:pt>
                <c:pt idx="53">
                  <c:v>6.12</c:v>
                </c:pt>
                <c:pt idx="54">
                  <c:v>6.43</c:v>
                </c:pt>
                <c:pt idx="55">
                  <c:v>6.09</c:v>
                </c:pt>
                <c:pt idx="56">
                  <c:v>6.02</c:v>
                </c:pt>
                <c:pt idx="57">
                  <c:v>6.556</c:v>
                </c:pt>
                <c:pt idx="58">
                  <c:v>6.253</c:v>
                </c:pt>
                <c:pt idx="59">
                  <c:v>6.34</c:v>
                </c:pt>
                <c:pt idx="61">
                  <c:v>6.253</c:v>
                </c:pt>
                <c:pt idx="62">
                  <c:v>6.268</c:v>
                </c:pt>
                <c:pt idx="63">
                  <c:v>6.494</c:v>
                </c:pt>
                <c:pt idx="64">
                  <c:v>6.375</c:v>
                </c:pt>
                <c:pt idx="65">
                  <c:v>6.425</c:v>
                </c:pt>
                <c:pt idx="66">
                  <c:v>6.228</c:v>
                </c:pt>
                <c:pt idx="67">
                  <c:v>6.238</c:v>
                </c:pt>
                <c:pt idx="68">
                  <c:v>6.2</c:v>
                </c:pt>
                <c:pt idx="69">
                  <c:v>6.29</c:v>
                </c:pt>
                <c:pt idx="70">
                  <c:v>6.241</c:v>
                </c:pt>
                <c:pt idx="71">
                  <c:v>6.505</c:v>
                </c:pt>
                <c:pt idx="75">
                  <c:v>5.949</c:v>
                </c:pt>
                <c:pt idx="77">
                  <c:v>6.167</c:v>
                </c:pt>
                <c:pt idx="78">
                  <c:v>5.977</c:v>
                </c:pt>
                <c:pt idx="79">
                  <c:v>6.214</c:v>
                </c:pt>
                <c:pt idx="80">
                  <c:v>6.218</c:v>
                </c:pt>
                <c:pt idx="81">
                  <c:v>6.145</c:v>
                </c:pt>
                <c:pt idx="82">
                  <c:v>6.311</c:v>
                </c:pt>
                <c:pt idx="83">
                  <c:v>6.089</c:v>
                </c:pt>
                <c:pt idx="84">
                  <c:v>6.463</c:v>
                </c:pt>
                <c:pt idx="90">
                  <c:v>6.271</c:v>
                </c:pt>
              </c:numCache>
            </c:numRef>
          </c:val>
          <c:smooth val="0"/>
        </c:ser>
        <c:marker val="1"/>
        <c:axId val="34377665"/>
        <c:axId val="40963530"/>
      </c:lineChart>
      <c:dateAx>
        <c:axId val="3437766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3530"/>
        <c:crossesAt val="5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096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766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data'!$AS$8:$AS$98</c:f>
              <c:numCache>
                <c:ptCount val="91"/>
                <c:pt idx="0">
                  <c:v>4.838709677419355</c:v>
                </c:pt>
                <c:pt idx="1">
                  <c:v>4.838709677419355</c:v>
                </c:pt>
                <c:pt idx="2">
                  <c:v>4.838709677419355</c:v>
                </c:pt>
                <c:pt idx="3">
                  <c:v>4.838709677419355</c:v>
                </c:pt>
                <c:pt idx="4">
                  <c:v>4.838709677419355</c:v>
                </c:pt>
                <c:pt idx="6">
                  <c:v>4.838709677419355</c:v>
                </c:pt>
                <c:pt idx="7">
                  <c:v>4.838709677419355</c:v>
                </c:pt>
                <c:pt idx="8">
                  <c:v>4.838709677419355</c:v>
                </c:pt>
                <c:pt idx="9">
                  <c:v>4.838709677419355</c:v>
                </c:pt>
                <c:pt idx="11">
                  <c:v>4.838709677419355</c:v>
                </c:pt>
                <c:pt idx="13">
                  <c:v>4.838709677419355</c:v>
                </c:pt>
                <c:pt idx="14">
                  <c:v>4.838709677419355</c:v>
                </c:pt>
                <c:pt idx="15">
                  <c:v>4.838709677419355</c:v>
                </c:pt>
                <c:pt idx="16">
                  <c:v>4.838709677419355</c:v>
                </c:pt>
                <c:pt idx="17">
                  <c:v>4.838709677419355</c:v>
                </c:pt>
                <c:pt idx="18">
                  <c:v>4.838709677419355</c:v>
                </c:pt>
                <c:pt idx="19">
                  <c:v>4.838709677419355</c:v>
                </c:pt>
                <c:pt idx="20">
                  <c:v>4.838709677419355</c:v>
                </c:pt>
                <c:pt idx="21">
                  <c:v>4.838709677419355</c:v>
                </c:pt>
                <c:pt idx="22">
                  <c:v>4.838709677419355</c:v>
                </c:pt>
                <c:pt idx="23">
                  <c:v>4.838709677419355</c:v>
                </c:pt>
                <c:pt idx="25">
                  <c:v>4.838709677419355</c:v>
                </c:pt>
                <c:pt idx="27">
                  <c:v>4.838709677419355</c:v>
                </c:pt>
                <c:pt idx="28">
                  <c:v>4.838709677419355</c:v>
                </c:pt>
                <c:pt idx="29">
                  <c:v>4.838709677419355</c:v>
                </c:pt>
                <c:pt idx="30">
                  <c:v>4.838709677419355</c:v>
                </c:pt>
                <c:pt idx="31">
                  <c:v>4.838709677419355</c:v>
                </c:pt>
                <c:pt idx="32">
                  <c:v>4.838709677419355</c:v>
                </c:pt>
                <c:pt idx="33">
                  <c:v>4.838709677419355</c:v>
                </c:pt>
                <c:pt idx="34">
                  <c:v>6.774193548387098</c:v>
                </c:pt>
                <c:pt idx="35">
                  <c:v>4.838709677419355</c:v>
                </c:pt>
                <c:pt idx="36">
                  <c:v>4.838709677419355</c:v>
                </c:pt>
                <c:pt idx="37">
                  <c:v>4.838709677419355</c:v>
                </c:pt>
                <c:pt idx="38">
                  <c:v>4.838709677419355</c:v>
                </c:pt>
                <c:pt idx="39">
                  <c:v>4.838709677419355</c:v>
                </c:pt>
                <c:pt idx="40">
                  <c:v>4.838709677419355</c:v>
                </c:pt>
                <c:pt idx="41">
                  <c:v>4.838709677419355</c:v>
                </c:pt>
                <c:pt idx="42">
                  <c:v>4.838709677419355</c:v>
                </c:pt>
                <c:pt idx="43">
                  <c:v>4.838709677419355</c:v>
                </c:pt>
                <c:pt idx="44">
                  <c:v>4.838709677419355</c:v>
                </c:pt>
                <c:pt idx="46">
                  <c:v>4.838709677419355</c:v>
                </c:pt>
                <c:pt idx="47">
                  <c:v>4.838709677419355</c:v>
                </c:pt>
                <c:pt idx="48">
                  <c:v>4.838709677419355</c:v>
                </c:pt>
                <c:pt idx="50">
                  <c:v>4.838709677419355</c:v>
                </c:pt>
                <c:pt idx="51">
                  <c:v>4.838709677419355</c:v>
                </c:pt>
                <c:pt idx="52">
                  <c:v>12.377419354838711</c:v>
                </c:pt>
                <c:pt idx="53">
                  <c:v>4.838709677419355</c:v>
                </c:pt>
                <c:pt idx="54">
                  <c:v>4.838709677419355</c:v>
                </c:pt>
                <c:pt idx="55">
                  <c:v>4.838709677419355</c:v>
                </c:pt>
                <c:pt idx="56">
                  <c:v>4.838709677419355</c:v>
                </c:pt>
                <c:pt idx="57">
                  <c:v>4.838709677419355</c:v>
                </c:pt>
                <c:pt idx="58">
                  <c:v>4.838709677419355</c:v>
                </c:pt>
                <c:pt idx="59">
                  <c:v>4.838709677419355</c:v>
                </c:pt>
                <c:pt idx="61">
                  <c:v>4.838709677419355</c:v>
                </c:pt>
                <c:pt idx="62">
                  <c:v>4.838709677419355</c:v>
                </c:pt>
                <c:pt idx="63">
                  <c:v>4.838709677419355</c:v>
                </c:pt>
                <c:pt idx="64">
                  <c:v>4.838709677419355</c:v>
                </c:pt>
                <c:pt idx="65">
                  <c:v>4.838709677419355</c:v>
                </c:pt>
                <c:pt idx="66">
                  <c:v>4.838709677419355</c:v>
                </c:pt>
                <c:pt idx="67">
                  <c:v>4.838709677419355</c:v>
                </c:pt>
                <c:pt idx="68">
                  <c:v>4.838709677419355</c:v>
                </c:pt>
                <c:pt idx="69">
                  <c:v>4.838709677419355</c:v>
                </c:pt>
                <c:pt idx="70">
                  <c:v>4.838709677419355</c:v>
                </c:pt>
                <c:pt idx="71">
                  <c:v>4.838709677419355</c:v>
                </c:pt>
                <c:pt idx="75">
                  <c:v>4.838709677419355</c:v>
                </c:pt>
                <c:pt idx="77">
                  <c:v>4.838709677419355</c:v>
                </c:pt>
                <c:pt idx="78">
                  <c:v>4.838709677419355</c:v>
                </c:pt>
                <c:pt idx="79">
                  <c:v>4.838709677419355</c:v>
                </c:pt>
                <c:pt idx="80">
                  <c:v>4.838709677419355</c:v>
                </c:pt>
                <c:pt idx="81">
                  <c:v>4.838709677419355</c:v>
                </c:pt>
                <c:pt idx="82">
                  <c:v>4.838709677419355</c:v>
                </c:pt>
                <c:pt idx="83">
                  <c:v>4.838709677419355</c:v>
                </c:pt>
                <c:pt idx="84">
                  <c:v>4.838709677419355</c:v>
                </c:pt>
                <c:pt idx="90">
                  <c:v>4.838709677419355</c:v>
                </c:pt>
              </c:numCache>
            </c:numRef>
          </c:val>
          <c:smooth val="0"/>
        </c:ser>
        <c:marker val="1"/>
        <c:axId val="33127451"/>
        <c:axId val="29711604"/>
      </c:lineChart>
      <c:dateAx>
        <c:axId val="3312745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160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971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745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-P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data'!$AK$8:$AK$98</c:f>
              <c:numCache>
                <c:ptCount val="91"/>
                <c:pt idx="0">
                  <c:v>0.7741935483870969</c:v>
                </c:pt>
                <c:pt idx="1">
                  <c:v>0.4838709677419355</c:v>
                </c:pt>
                <c:pt idx="2">
                  <c:v>1.5580645161290323</c:v>
                </c:pt>
                <c:pt idx="3">
                  <c:v>1.5774193548387097</c:v>
                </c:pt>
                <c:pt idx="4">
                  <c:v>1.5</c:v>
                </c:pt>
                <c:pt idx="6">
                  <c:v>0.7258064516129031</c:v>
                </c:pt>
                <c:pt idx="7">
                  <c:v>0.4838709677419355</c:v>
                </c:pt>
                <c:pt idx="8">
                  <c:v>0.49354838709677423</c:v>
                </c:pt>
                <c:pt idx="9">
                  <c:v>0.4838709677419355</c:v>
                </c:pt>
                <c:pt idx="11">
                  <c:v>0.9193548387096774</c:v>
                </c:pt>
                <c:pt idx="13">
                  <c:v>0.7548387096774194</c:v>
                </c:pt>
                <c:pt idx="14">
                  <c:v>0.4838709677419355</c:v>
                </c:pt>
                <c:pt idx="15">
                  <c:v>0.4838709677419355</c:v>
                </c:pt>
                <c:pt idx="16">
                  <c:v>0.4838709677419355</c:v>
                </c:pt>
                <c:pt idx="17">
                  <c:v>0.4838709677419355</c:v>
                </c:pt>
                <c:pt idx="18">
                  <c:v>0.4838709677419355</c:v>
                </c:pt>
                <c:pt idx="19">
                  <c:v>0.4838709677419355</c:v>
                </c:pt>
                <c:pt idx="20">
                  <c:v>0.4838709677419355</c:v>
                </c:pt>
                <c:pt idx="21">
                  <c:v>0.5129032258064515</c:v>
                </c:pt>
                <c:pt idx="22">
                  <c:v>0.5129032258064515</c:v>
                </c:pt>
                <c:pt idx="23">
                  <c:v>0.4838709677419355</c:v>
                </c:pt>
                <c:pt idx="25">
                  <c:v>0.4838709677419355</c:v>
                </c:pt>
                <c:pt idx="27">
                  <c:v>0.5806451612903225</c:v>
                </c:pt>
                <c:pt idx="28">
                  <c:v>0.4838709677419355</c:v>
                </c:pt>
                <c:pt idx="29">
                  <c:v>0.4838709677419355</c:v>
                </c:pt>
                <c:pt idx="30">
                  <c:v>0.5806451612903225</c:v>
                </c:pt>
                <c:pt idx="31">
                  <c:v>0.4838709677419355</c:v>
                </c:pt>
                <c:pt idx="32">
                  <c:v>0.4838709677419355</c:v>
                </c:pt>
                <c:pt idx="33">
                  <c:v>0.4838709677419355</c:v>
                </c:pt>
                <c:pt idx="34">
                  <c:v>0.5806451612903225</c:v>
                </c:pt>
                <c:pt idx="35">
                  <c:v>0.6774193548387097</c:v>
                </c:pt>
                <c:pt idx="36">
                  <c:v>0.4838709677419355</c:v>
                </c:pt>
                <c:pt idx="37">
                  <c:v>0.4838709677419355</c:v>
                </c:pt>
                <c:pt idx="38">
                  <c:v>0.4838709677419355</c:v>
                </c:pt>
                <c:pt idx="39">
                  <c:v>0.4838709677419355</c:v>
                </c:pt>
                <c:pt idx="40">
                  <c:v>0.5806451612903225</c:v>
                </c:pt>
                <c:pt idx="41">
                  <c:v>0.4838709677419355</c:v>
                </c:pt>
                <c:pt idx="42">
                  <c:v>0.4838709677419355</c:v>
                </c:pt>
                <c:pt idx="43">
                  <c:v>0.5806451612903225</c:v>
                </c:pt>
                <c:pt idx="44">
                  <c:v>0.6774193548387097</c:v>
                </c:pt>
                <c:pt idx="46">
                  <c:v>0.4838709677419355</c:v>
                </c:pt>
                <c:pt idx="47">
                  <c:v>0.4838709677419355</c:v>
                </c:pt>
                <c:pt idx="48">
                  <c:v>0.4838709677419355</c:v>
                </c:pt>
                <c:pt idx="50">
                  <c:v>0.4838709677419355</c:v>
                </c:pt>
                <c:pt idx="51">
                  <c:v>0.4838709677419355</c:v>
                </c:pt>
                <c:pt idx="52">
                  <c:v>0.4838709677419355</c:v>
                </c:pt>
                <c:pt idx="53">
                  <c:v>0.4838709677419355</c:v>
                </c:pt>
                <c:pt idx="54">
                  <c:v>0.4838709677419355</c:v>
                </c:pt>
                <c:pt idx="55">
                  <c:v>0.4838709677419355</c:v>
                </c:pt>
                <c:pt idx="56">
                  <c:v>0.4838709677419355</c:v>
                </c:pt>
                <c:pt idx="57">
                  <c:v>0.4838709677419355</c:v>
                </c:pt>
                <c:pt idx="58">
                  <c:v>0.4838709677419355</c:v>
                </c:pt>
                <c:pt idx="59">
                  <c:v>0.4838709677419355</c:v>
                </c:pt>
                <c:pt idx="61">
                  <c:v>0.4838709677419355</c:v>
                </c:pt>
                <c:pt idx="62">
                  <c:v>0.4838709677419355</c:v>
                </c:pt>
                <c:pt idx="63">
                  <c:v>0.5806451612903225</c:v>
                </c:pt>
                <c:pt idx="64">
                  <c:v>0.4838709677419355</c:v>
                </c:pt>
                <c:pt idx="65">
                  <c:v>0.4838709677419355</c:v>
                </c:pt>
                <c:pt idx="66">
                  <c:v>0.4838709677419355</c:v>
                </c:pt>
                <c:pt idx="67">
                  <c:v>0.4838709677419355</c:v>
                </c:pt>
                <c:pt idx="68">
                  <c:v>0.4838709677419355</c:v>
                </c:pt>
                <c:pt idx="69">
                  <c:v>0.4838709677419355</c:v>
                </c:pt>
                <c:pt idx="70">
                  <c:v>0.4838709677419355</c:v>
                </c:pt>
                <c:pt idx="71">
                  <c:v>0.4838709677419355</c:v>
                </c:pt>
                <c:pt idx="75">
                  <c:v>0.4838709677419355</c:v>
                </c:pt>
                <c:pt idx="77">
                  <c:v>0.4838709677419355</c:v>
                </c:pt>
                <c:pt idx="78">
                  <c:v>0.4838709677419355</c:v>
                </c:pt>
                <c:pt idx="79">
                  <c:v>0.4838709677419355</c:v>
                </c:pt>
                <c:pt idx="80">
                  <c:v>0.4838709677419355</c:v>
                </c:pt>
                <c:pt idx="81">
                  <c:v>0.4838709677419355</c:v>
                </c:pt>
                <c:pt idx="82">
                  <c:v>0.6774193548387097</c:v>
                </c:pt>
                <c:pt idx="83">
                  <c:v>0.5806451612903225</c:v>
                </c:pt>
                <c:pt idx="84">
                  <c:v>0.6774193548387097</c:v>
                </c:pt>
                <c:pt idx="90">
                  <c:v>0.4838709677419355</c:v>
                </c:pt>
              </c:numCache>
            </c:numRef>
          </c:val>
          <c:smooth val="0"/>
        </c:ser>
        <c:marker val="1"/>
        <c:axId val="66077845"/>
        <c:axId val="57829694"/>
      </c:lineChart>
      <c:dateAx>
        <c:axId val="6607784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969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782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data'!$AT$8:$AT$98</c:f>
              <c:numCache>
                <c:ptCount val="91"/>
                <c:pt idx="0">
                  <c:v>41.875</c:v>
                </c:pt>
                <c:pt idx="1">
                  <c:v>45.86875</c:v>
                </c:pt>
                <c:pt idx="2">
                  <c:v>48.51875</c:v>
                </c:pt>
                <c:pt idx="3">
                  <c:v>48.737500000000004</c:v>
                </c:pt>
                <c:pt idx="4">
                  <c:v>50.125</c:v>
                </c:pt>
                <c:pt idx="6">
                  <c:v>43.668749999999996</c:v>
                </c:pt>
                <c:pt idx="7">
                  <c:v>48.487500000000004</c:v>
                </c:pt>
                <c:pt idx="8">
                  <c:v>40.737500000000004</c:v>
                </c:pt>
                <c:pt idx="9">
                  <c:v>45.587500000000006</c:v>
                </c:pt>
                <c:pt idx="11">
                  <c:v>42.46875</c:v>
                </c:pt>
                <c:pt idx="13">
                  <c:v>53.25</c:v>
                </c:pt>
                <c:pt idx="14">
                  <c:v>49.21875</c:v>
                </c:pt>
                <c:pt idx="15">
                  <c:v>45.925</c:v>
                </c:pt>
                <c:pt idx="16">
                  <c:v>45.61875</c:v>
                </c:pt>
                <c:pt idx="17">
                  <c:v>49.44375</c:v>
                </c:pt>
                <c:pt idx="18">
                  <c:v>41.21875</c:v>
                </c:pt>
                <c:pt idx="19">
                  <c:v>41.59375</c:v>
                </c:pt>
                <c:pt idx="20">
                  <c:v>47.987500000000004</c:v>
                </c:pt>
                <c:pt idx="21">
                  <c:v>45.262499999999996</c:v>
                </c:pt>
                <c:pt idx="22">
                  <c:v>48.95625</c:v>
                </c:pt>
                <c:pt idx="23">
                  <c:v>48.412499999999994</c:v>
                </c:pt>
                <c:pt idx="27">
                  <c:v>48.724999999999994</c:v>
                </c:pt>
                <c:pt idx="28">
                  <c:v>38.98125</c:v>
                </c:pt>
                <c:pt idx="29">
                  <c:v>42.5</c:v>
                </c:pt>
                <c:pt idx="30">
                  <c:v>42.5</c:v>
                </c:pt>
                <c:pt idx="31">
                  <c:v>43.125</c:v>
                </c:pt>
                <c:pt idx="32">
                  <c:v>72.5</c:v>
                </c:pt>
                <c:pt idx="33">
                  <c:v>45.625</c:v>
                </c:pt>
                <c:pt idx="34">
                  <c:v>37.5</c:v>
                </c:pt>
                <c:pt idx="35">
                  <c:v>44.99375</c:v>
                </c:pt>
              </c:numCache>
            </c:numRef>
          </c:val>
          <c:smooth val="0"/>
        </c:ser>
        <c:marker val="1"/>
        <c:axId val="50705199"/>
        <c:axId val="53693608"/>
      </c:lineChart>
      <c:dateAx>
        <c:axId val="50705199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60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369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519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Si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data'!$AH$8:$AH$98</c:f>
              <c:numCache>
                <c:ptCount val="91"/>
                <c:pt idx="0">
                  <c:v>409.7142857142857</c:v>
                </c:pt>
                <c:pt idx="1">
                  <c:v>411.14285714285717</c:v>
                </c:pt>
                <c:pt idx="2">
                  <c:v>424.42857142857144</c:v>
                </c:pt>
                <c:pt idx="3">
                  <c:v>418.2857142857143</c:v>
                </c:pt>
                <c:pt idx="4">
                  <c:v>403.99999999999994</c:v>
                </c:pt>
                <c:pt idx="6">
                  <c:v>363.57142857142856</c:v>
                </c:pt>
                <c:pt idx="7">
                  <c:v>390.57142857142856</c:v>
                </c:pt>
                <c:pt idx="8">
                  <c:v>287</c:v>
                </c:pt>
                <c:pt idx="9">
                  <c:v>410.4285714285715</c:v>
                </c:pt>
                <c:pt idx="11">
                  <c:v>368</c:v>
                </c:pt>
                <c:pt idx="13">
                  <c:v>436.1428571428571</c:v>
                </c:pt>
                <c:pt idx="14">
                  <c:v>412.57142857142856</c:v>
                </c:pt>
                <c:pt idx="15">
                  <c:v>457.2857142857143</c:v>
                </c:pt>
                <c:pt idx="16">
                  <c:v>424</c:v>
                </c:pt>
                <c:pt idx="17">
                  <c:v>431.71428571428567</c:v>
                </c:pt>
                <c:pt idx="18">
                  <c:v>429.14285714285717</c:v>
                </c:pt>
                <c:pt idx="19">
                  <c:v>414.14285714285717</c:v>
                </c:pt>
                <c:pt idx="20">
                  <c:v>422.2857142857143</c:v>
                </c:pt>
                <c:pt idx="21">
                  <c:v>423.7142857142858</c:v>
                </c:pt>
                <c:pt idx="22">
                  <c:v>470.00000000000006</c:v>
                </c:pt>
                <c:pt idx="23">
                  <c:v>452.2857142857143</c:v>
                </c:pt>
                <c:pt idx="27">
                  <c:v>425.42857142857144</c:v>
                </c:pt>
                <c:pt idx="28">
                  <c:v>383</c:v>
                </c:pt>
                <c:pt idx="29">
                  <c:v>388.5714285714286</c:v>
                </c:pt>
                <c:pt idx="30">
                  <c:v>417.14285714285717</c:v>
                </c:pt>
                <c:pt idx="31">
                  <c:v>424.28571428571433</c:v>
                </c:pt>
                <c:pt idx="32">
                  <c:v>464.5714285714285</c:v>
                </c:pt>
                <c:pt idx="33">
                  <c:v>404.2857142857143</c:v>
                </c:pt>
                <c:pt idx="34">
                  <c:v>357.14285714285717</c:v>
                </c:pt>
                <c:pt idx="35">
                  <c:v>397.2857142857143</c:v>
                </c:pt>
                <c:pt idx="36">
                  <c:v>734.2857142857142</c:v>
                </c:pt>
                <c:pt idx="37">
                  <c:v>825.7142857142858</c:v>
                </c:pt>
                <c:pt idx="38">
                  <c:v>783.7142857142857</c:v>
                </c:pt>
                <c:pt idx="39">
                  <c:v>416.57142857142856</c:v>
                </c:pt>
                <c:pt idx="40">
                  <c:v>431.1428571428571</c:v>
                </c:pt>
                <c:pt idx="41">
                  <c:v>438.7142857142857</c:v>
                </c:pt>
                <c:pt idx="42">
                  <c:v>447.85714285714283</c:v>
                </c:pt>
                <c:pt idx="43">
                  <c:v>483</c:v>
                </c:pt>
                <c:pt idx="44">
                  <c:v>286.14285714285717</c:v>
                </c:pt>
                <c:pt idx="46">
                  <c:v>428</c:v>
                </c:pt>
                <c:pt idx="47">
                  <c:v>446.2857142857143</c:v>
                </c:pt>
                <c:pt idx="48">
                  <c:v>457.2857142857143</c:v>
                </c:pt>
                <c:pt idx="50">
                  <c:v>410.7142857142857</c:v>
                </c:pt>
                <c:pt idx="51">
                  <c:v>434.42857142857144</c:v>
                </c:pt>
                <c:pt idx="52">
                  <c:v>342.2857142857142</c:v>
                </c:pt>
                <c:pt idx="53">
                  <c:v>385.2857142857143</c:v>
                </c:pt>
                <c:pt idx="54">
                  <c:v>319.42857142857144</c:v>
                </c:pt>
                <c:pt idx="55">
                  <c:v>303.28571428571433</c:v>
                </c:pt>
                <c:pt idx="56">
                  <c:v>376.85714285714283</c:v>
                </c:pt>
                <c:pt idx="57">
                  <c:v>371.42857142857144</c:v>
                </c:pt>
                <c:pt idx="58">
                  <c:v>516.4285714285714</c:v>
                </c:pt>
                <c:pt idx="59">
                  <c:v>350.7142857142857</c:v>
                </c:pt>
                <c:pt idx="61">
                  <c:v>340.4285714285714</c:v>
                </c:pt>
                <c:pt idx="62">
                  <c:v>397.4285714285714</c:v>
                </c:pt>
                <c:pt idx="63">
                  <c:v>379.7142857142857</c:v>
                </c:pt>
                <c:pt idx="64">
                  <c:v>407.14285714285717</c:v>
                </c:pt>
                <c:pt idx="65">
                  <c:v>395.85714285714283</c:v>
                </c:pt>
                <c:pt idx="66">
                  <c:v>380.14285714285717</c:v>
                </c:pt>
                <c:pt idx="67">
                  <c:v>287.57142857142856</c:v>
                </c:pt>
                <c:pt idx="68">
                  <c:v>287.28571428571433</c:v>
                </c:pt>
                <c:pt idx="69">
                  <c:v>292.42857142857144</c:v>
                </c:pt>
                <c:pt idx="70">
                  <c:v>302.8571428571429</c:v>
                </c:pt>
                <c:pt idx="71">
                  <c:v>268.2857142857143</c:v>
                </c:pt>
                <c:pt idx="75">
                  <c:v>49.27142857142857</c:v>
                </c:pt>
                <c:pt idx="77">
                  <c:v>197</c:v>
                </c:pt>
                <c:pt idx="78">
                  <c:v>231</c:v>
                </c:pt>
                <c:pt idx="79">
                  <c:v>325.42857142857144</c:v>
                </c:pt>
                <c:pt idx="80">
                  <c:v>288.5714285714286</c:v>
                </c:pt>
                <c:pt idx="81">
                  <c:v>325.42857142857144</c:v>
                </c:pt>
                <c:pt idx="82">
                  <c:v>248.71428571428572</c:v>
                </c:pt>
                <c:pt idx="83">
                  <c:v>231.14285714285714</c:v>
                </c:pt>
                <c:pt idx="84">
                  <c:v>255.57142857142856</c:v>
                </c:pt>
                <c:pt idx="90">
                  <c:v>190.2857142857143</c:v>
                </c:pt>
              </c:numCache>
            </c:numRef>
          </c:val>
          <c:smooth val="0"/>
        </c:ser>
        <c:marker val="1"/>
        <c:axId val="13480425"/>
        <c:axId val="54214962"/>
      </c:lineChart>
      <c:dateAx>
        <c:axId val="13480425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496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421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7"/>
          <c:w val="0.91425"/>
          <c:h val="0.62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data'!$AP$8:$AP$98</c:f>
              <c:numCache>
                <c:ptCount val="91"/>
                <c:pt idx="0">
                  <c:v>43.1875</c:v>
                </c:pt>
                <c:pt idx="1">
                  <c:v>42.3125</c:v>
                </c:pt>
                <c:pt idx="2">
                  <c:v>45.21875</c:v>
                </c:pt>
                <c:pt idx="3">
                  <c:v>48.4625</c:v>
                </c:pt>
                <c:pt idx="4">
                  <c:v>43.675</c:v>
                </c:pt>
                <c:pt idx="6">
                  <c:v>42.356249999999996</c:v>
                </c:pt>
                <c:pt idx="7">
                  <c:v>44.61875</c:v>
                </c:pt>
                <c:pt idx="8">
                  <c:v>34.15625</c:v>
                </c:pt>
                <c:pt idx="9">
                  <c:v>43.643750000000004</c:v>
                </c:pt>
                <c:pt idx="11">
                  <c:v>36.9125</c:v>
                </c:pt>
                <c:pt idx="13">
                  <c:v>45.31875</c:v>
                </c:pt>
                <c:pt idx="14">
                  <c:v>45.86875</c:v>
                </c:pt>
                <c:pt idx="15">
                  <c:v>40.88125</c:v>
                </c:pt>
                <c:pt idx="16">
                  <c:v>44.48125</c:v>
                </c:pt>
                <c:pt idx="17">
                  <c:v>46.60625</c:v>
                </c:pt>
                <c:pt idx="18">
                  <c:v>44.55</c:v>
                </c:pt>
                <c:pt idx="19">
                  <c:v>40.775</c:v>
                </c:pt>
                <c:pt idx="20">
                  <c:v>44.54375</c:v>
                </c:pt>
                <c:pt idx="21">
                  <c:v>41.625</c:v>
                </c:pt>
                <c:pt idx="22">
                  <c:v>48.493750000000006</c:v>
                </c:pt>
                <c:pt idx="23">
                  <c:v>46.362500000000004</c:v>
                </c:pt>
                <c:pt idx="27">
                  <c:v>44.068749999999994</c:v>
                </c:pt>
                <c:pt idx="28">
                  <c:v>38.301500000000004</c:v>
                </c:pt>
                <c:pt idx="29">
                  <c:v>44.5625</c:v>
                </c:pt>
                <c:pt idx="30">
                  <c:v>44.9375</c:v>
                </c:pt>
                <c:pt idx="31">
                  <c:v>42.5</c:v>
                </c:pt>
                <c:pt idx="32">
                  <c:v>41.5625</c:v>
                </c:pt>
                <c:pt idx="33">
                  <c:v>43.1875</c:v>
                </c:pt>
                <c:pt idx="34">
                  <c:v>37.9375</c:v>
                </c:pt>
                <c:pt idx="35">
                  <c:v>44.393750000000004</c:v>
                </c:pt>
                <c:pt idx="36">
                  <c:v>45.4375</c:v>
                </c:pt>
                <c:pt idx="37">
                  <c:v>43.5625</c:v>
                </c:pt>
                <c:pt idx="38">
                  <c:v>40.31875</c:v>
                </c:pt>
                <c:pt idx="39">
                  <c:v>42.49375</c:v>
                </c:pt>
                <c:pt idx="40">
                  <c:v>41.50625</c:v>
                </c:pt>
                <c:pt idx="41">
                  <c:v>45.387499999999996</c:v>
                </c:pt>
                <c:pt idx="42">
                  <c:v>42.9813125</c:v>
                </c:pt>
                <c:pt idx="43">
                  <c:v>43.311437500000004</c:v>
                </c:pt>
                <c:pt idx="44">
                  <c:v>34.4125</c:v>
                </c:pt>
                <c:pt idx="46">
                  <c:v>50.4</c:v>
                </c:pt>
                <c:pt idx="47">
                  <c:v>40.287499999999994</c:v>
                </c:pt>
                <c:pt idx="48">
                  <c:v>41.368750000000006</c:v>
                </c:pt>
                <c:pt idx="50">
                  <c:v>40.56875</c:v>
                </c:pt>
                <c:pt idx="51">
                  <c:v>48.40625</c:v>
                </c:pt>
                <c:pt idx="52">
                  <c:v>37.456250000000004</c:v>
                </c:pt>
                <c:pt idx="53">
                  <c:v>42.225</c:v>
                </c:pt>
                <c:pt idx="54">
                  <c:v>42.768750000000004</c:v>
                </c:pt>
                <c:pt idx="55">
                  <c:v>44.1125</c:v>
                </c:pt>
                <c:pt idx="56">
                  <c:v>47.237500000000004</c:v>
                </c:pt>
                <c:pt idx="57">
                  <c:v>43.4125</c:v>
                </c:pt>
                <c:pt idx="58">
                  <c:v>44.24375</c:v>
                </c:pt>
                <c:pt idx="59">
                  <c:v>38.11875</c:v>
                </c:pt>
                <c:pt idx="61">
                  <c:v>37.262499999999996</c:v>
                </c:pt>
                <c:pt idx="62">
                  <c:v>39.65</c:v>
                </c:pt>
                <c:pt idx="63">
                  <c:v>42.875</c:v>
                </c:pt>
                <c:pt idx="64">
                  <c:v>42.725</c:v>
                </c:pt>
                <c:pt idx="65">
                  <c:v>40.24375</c:v>
                </c:pt>
                <c:pt idx="66">
                  <c:v>38.925000000000004</c:v>
                </c:pt>
                <c:pt idx="67">
                  <c:v>37.43125</c:v>
                </c:pt>
                <c:pt idx="68">
                  <c:v>42.5125</c:v>
                </c:pt>
                <c:pt idx="69">
                  <c:v>40.237500000000004</c:v>
                </c:pt>
                <c:pt idx="70">
                  <c:v>42.69375</c:v>
                </c:pt>
                <c:pt idx="71">
                  <c:v>42.0625</c:v>
                </c:pt>
                <c:pt idx="75">
                  <c:v>8.05</c:v>
                </c:pt>
                <c:pt idx="77">
                  <c:v>23.956249999999997</c:v>
                </c:pt>
                <c:pt idx="78">
                  <c:v>31.2875</c:v>
                </c:pt>
                <c:pt idx="79">
                  <c:v>42.90625</c:v>
                </c:pt>
                <c:pt idx="80">
                  <c:v>37.80625</c:v>
                </c:pt>
                <c:pt idx="81">
                  <c:v>40.7625</c:v>
                </c:pt>
                <c:pt idx="82">
                  <c:v>39.9</c:v>
                </c:pt>
                <c:pt idx="83">
                  <c:v>39.96875</c:v>
                </c:pt>
                <c:pt idx="84">
                  <c:v>37.99375</c:v>
                </c:pt>
                <c:pt idx="90">
                  <c:v>36.8</c:v>
                </c:pt>
              </c:numCache>
            </c:numRef>
          </c:val>
          <c:smooth val="0"/>
        </c:ser>
        <c:marker val="1"/>
        <c:axId val="18172611"/>
        <c:axId val="29335772"/>
      </c:lineChart>
      <c:dateAx>
        <c:axId val="1817261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9335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261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Total Anions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data'!$BR$8:$BR$98</c:f>
              <c:numCache>
                <c:ptCount val="91"/>
                <c:pt idx="0">
                  <c:v>121.9875</c:v>
                </c:pt>
                <c:pt idx="1">
                  <c:v>120.27607142857144</c:v>
                </c:pt>
                <c:pt idx="2">
                  <c:v>134.17589285714286</c:v>
                </c:pt>
                <c:pt idx="3">
                  <c:v>140.98964285714285</c:v>
                </c:pt>
                <c:pt idx="4">
                  <c:v>121.03642857142856</c:v>
                </c:pt>
                <c:pt idx="6">
                  <c:v>121.08410714285714</c:v>
                </c:pt>
                <c:pt idx="7">
                  <c:v>125.64446428571429</c:v>
                </c:pt>
                <c:pt idx="8">
                  <c:v>135.97267857142856</c:v>
                </c:pt>
                <c:pt idx="9">
                  <c:v>125.88160714285715</c:v>
                </c:pt>
                <c:pt idx="11">
                  <c:v>112.8075</c:v>
                </c:pt>
                <c:pt idx="13">
                  <c:v>134.94517857142858</c:v>
                </c:pt>
                <c:pt idx="14">
                  <c:v>132.26874999999998</c:v>
                </c:pt>
                <c:pt idx="15">
                  <c:v>113.64625</c:v>
                </c:pt>
                <c:pt idx="16">
                  <c:v>114.51767857142858</c:v>
                </c:pt>
                <c:pt idx="17">
                  <c:v>130.81339285714284</c:v>
                </c:pt>
                <c:pt idx="18">
                  <c:v>137.97857142857143</c:v>
                </c:pt>
                <c:pt idx="19">
                  <c:v>122.53214285714284</c:v>
                </c:pt>
                <c:pt idx="20">
                  <c:v>167.57232142857143</c:v>
                </c:pt>
                <c:pt idx="21">
                  <c:v>124.53142857142856</c:v>
                </c:pt>
                <c:pt idx="22">
                  <c:v>142.91660714285715</c:v>
                </c:pt>
                <c:pt idx="23">
                  <c:v>134.48392857142858</c:v>
                </c:pt>
                <c:pt idx="27">
                  <c:v>121.45732142857143</c:v>
                </c:pt>
                <c:pt idx="28">
                  <c:v>128.66440714285716</c:v>
                </c:pt>
                <c:pt idx="29">
                  <c:v>127.34821428571428</c:v>
                </c:pt>
                <c:pt idx="30">
                  <c:v>120.4375</c:v>
                </c:pt>
                <c:pt idx="31">
                  <c:v>123.0142857142857</c:v>
                </c:pt>
                <c:pt idx="32">
                  <c:v>124.23392857142858</c:v>
                </c:pt>
                <c:pt idx="33">
                  <c:v>127.51607142857144</c:v>
                </c:pt>
                <c:pt idx="34">
                  <c:v>124.60892857142858</c:v>
                </c:pt>
                <c:pt idx="35">
                  <c:v>139.04874999999998</c:v>
                </c:pt>
                <c:pt idx="36">
                  <c:v>130.38035714285712</c:v>
                </c:pt>
                <c:pt idx="37">
                  <c:v>128.11964285714285</c:v>
                </c:pt>
                <c:pt idx="38">
                  <c:v>126.14446428571429</c:v>
                </c:pt>
                <c:pt idx="39">
                  <c:v>124.06589285714286</c:v>
                </c:pt>
                <c:pt idx="40">
                  <c:v>118.54553571428572</c:v>
                </c:pt>
                <c:pt idx="41">
                  <c:v>133.65035714285713</c:v>
                </c:pt>
                <c:pt idx="42">
                  <c:v>129.25545535714286</c:v>
                </c:pt>
                <c:pt idx="43">
                  <c:v>135.23245178571426</c:v>
                </c:pt>
                <c:pt idx="44">
                  <c:v>153.05964285714285</c:v>
                </c:pt>
                <c:pt idx="46">
                  <c:v>191.92142857142858</c:v>
                </c:pt>
                <c:pt idx="47">
                  <c:v>120.46607142857144</c:v>
                </c:pt>
                <c:pt idx="48">
                  <c:v>117.86232142857145</c:v>
                </c:pt>
                <c:pt idx="50">
                  <c:v>120.68732142857144</c:v>
                </c:pt>
                <c:pt idx="51">
                  <c:v>202.80482142857144</c:v>
                </c:pt>
                <c:pt idx="52">
                  <c:v>116.94910714285714</c:v>
                </c:pt>
                <c:pt idx="53">
                  <c:v>125.8807142857143</c:v>
                </c:pt>
                <c:pt idx="54">
                  <c:v>136.10660714285717</c:v>
                </c:pt>
                <c:pt idx="55">
                  <c:v>133.9232142857143</c:v>
                </c:pt>
                <c:pt idx="56">
                  <c:v>165.1417857142857</c:v>
                </c:pt>
                <c:pt idx="57">
                  <c:v>149.77178571428573</c:v>
                </c:pt>
                <c:pt idx="58">
                  <c:v>126.25732142857143</c:v>
                </c:pt>
                <c:pt idx="59">
                  <c:v>120.79303571428571</c:v>
                </c:pt>
                <c:pt idx="61">
                  <c:v>117.34107142857142</c:v>
                </c:pt>
                <c:pt idx="62">
                  <c:v>117.62571428571428</c:v>
                </c:pt>
                <c:pt idx="63">
                  <c:v>134.66142857142856</c:v>
                </c:pt>
                <c:pt idx="64">
                  <c:v>129.15785714285713</c:v>
                </c:pt>
                <c:pt idx="65">
                  <c:v>131.49517857142857</c:v>
                </c:pt>
                <c:pt idx="66">
                  <c:v>123.23357142857142</c:v>
                </c:pt>
                <c:pt idx="67">
                  <c:v>148.91982142857142</c:v>
                </c:pt>
                <c:pt idx="68">
                  <c:v>139.49107142857144</c:v>
                </c:pt>
                <c:pt idx="69">
                  <c:v>111.39892857142857</c:v>
                </c:pt>
                <c:pt idx="70">
                  <c:v>125.34517857142856</c:v>
                </c:pt>
                <c:pt idx="71">
                  <c:v>129.04892857142858</c:v>
                </c:pt>
                <c:pt idx="75">
                  <c:v>31.42714285714286</c:v>
                </c:pt>
                <c:pt idx="77">
                  <c:v>79.24767857142857</c:v>
                </c:pt>
                <c:pt idx="78">
                  <c:v>99.07821428571428</c:v>
                </c:pt>
                <c:pt idx="79">
                  <c:v>130.92982142857142</c:v>
                </c:pt>
                <c:pt idx="80">
                  <c:v>109.06553571428572</c:v>
                </c:pt>
                <c:pt idx="81">
                  <c:v>114.94535714285715</c:v>
                </c:pt>
                <c:pt idx="82">
                  <c:v>121.05714285714286</c:v>
                </c:pt>
                <c:pt idx="83">
                  <c:v>115.7744642857143</c:v>
                </c:pt>
                <c:pt idx="84">
                  <c:v>112.12803571428572</c:v>
                </c:pt>
                <c:pt idx="90">
                  <c:v>111.89642857142857</c:v>
                </c:pt>
              </c:numCache>
            </c:numRef>
          </c:val>
          <c:smooth val="0"/>
        </c:ser>
        <c:marker val="1"/>
        <c:axId val="62695357"/>
        <c:axId val="27387302"/>
      </c:lineChart>
      <c:dateAx>
        <c:axId val="6269535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730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738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3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Total Cations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data'!$BQ$8:$BQ$98</c:f>
              <c:numCache>
                <c:ptCount val="91"/>
                <c:pt idx="0">
                  <c:v>170.35002229654404</c:v>
                </c:pt>
                <c:pt idx="1">
                  <c:v>178.8406370441153</c:v>
                </c:pt>
                <c:pt idx="2">
                  <c:v>183.0337020226151</c:v>
                </c:pt>
                <c:pt idx="3">
                  <c:v>183.73062908106385</c:v>
                </c:pt>
                <c:pt idx="4">
                  <c:v>186.79936614110528</c:v>
                </c:pt>
                <c:pt idx="6">
                  <c:v>162.40472845994583</c:v>
                </c:pt>
                <c:pt idx="7">
                  <c:v>177.0036375218984</c:v>
                </c:pt>
                <c:pt idx="8">
                  <c:v>175.79043398630355</c:v>
                </c:pt>
                <c:pt idx="9">
                  <c:v>173.76939162286988</c:v>
                </c:pt>
                <c:pt idx="11">
                  <c:v>163.078839783405</c:v>
                </c:pt>
                <c:pt idx="13">
                  <c:v>185.3054459308807</c:v>
                </c:pt>
                <c:pt idx="14">
                  <c:v>180.75662207357857</c:v>
                </c:pt>
                <c:pt idx="15">
                  <c:v>185.94255534320752</c:v>
                </c:pt>
                <c:pt idx="16">
                  <c:v>176.21868370759677</c:v>
                </c:pt>
                <c:pt idx="17">
                  <c:v>183.31667701863353</c:v>
                </c:pt>
                <c:pt idx="18">
                  <c:v>184.20641503424113</c:v>
                </c:pt>
                <c:pt idx="19">
                  <c:v>173.5753089663959</c:v>
                </c:pt>
                <c:pt idx="20">
                  <c:v>177.59437490046187</c:v>
                </c:pt>
                <c:pt idx="21">
                  <c:v>186.07903408186016</c:v>
                </c:pt>
                <c:pt idx="22">
                  <c:v>190.94752349100176</c:v>
                </c:pt>
                <c:pt idx="23">
                  <c:v>182.99196129957</c:v>
                </c:pt>
                <c:pt idx="27">
                  <c:v>162.9780259595477</c:v>
                </c:pt>
                <c:pt idx="28">
                  <c:v>172.88353878006052</c:v>
                </c:pt>
                <c:pt idx="29">
                  <c:v>166.02006688963212</c:v>
                </c:pt>
                <c:pt idx="30">
                  <c:v>153.08878802357063</c:v>
                </c:pt>
                <c:pt idx="31">
                  <c:v>188.05160057333973</c:v>
                </c:pt>
                <c:pt idx="32">
                  <c:v>192.20326883261663</c:v>
                </c:pt>
                <c:pt idx="33">
                  <c:v>175.77337155598025</c:v>
                </c:pt>
                <c:pt idx="34">
                  <c:v>146.55263577002708</c:v>
                </c:pt>
                <c:pt idx="35">
                  <c:v>207.42994346233476</c:v>
                </c:pt>
                <c:pt idx="36">
                  <c:v>209.80862796623666</c:v>
                </c:pt>
                <c:pt idx="37">
                  <c:v>268.87320433189996</c:v>
                </c:pt>
                <c:pt idx="38">
                  <c:v>254.8248518872432</c:v>
                </c:pt>
                <c:pt idx="39">
                  <c:v>198.97673514890906</c:v>
                </c:pt>
                <c:pt idx="40">
                  <c:v>206.70224876572703</c:v>
                </c:pt>
                <c:pt idx="41">
                  <c:v>205.22858576206403</c:v>
                </c:pt>
                <c:pt idx="42">
                  <c:v>191.41111960503264</c:v>
                </c:pt>
                <c:pt idx="43">
                  <c:v>221.92535117056855</c:v>
                </c:pt>
                <c:pt idx="44">
                  <c:v>202.76153766523333</c:v>
                </c:pt>
                <c:pt idx="46">
                  <c:v>165.10991320273928</c:v>
                </c:pt>
                <c:pt idx="47">
                  <c:v>178.5324470457079</c:v>
                </c:pt>
                <c:pt idx="48">
                  <c:v>167.56950310559006</c:v>
                </c:pt>
                <c:pt idx="50">
                  <c:v>147.7742801401497</c:v>
                </c:pt>
                <c:pt idx="51">
                  <c:v>192.4395994585125</c:v>
                </c:pt>
                <c:pt idx="52">
                  <c:v>156.28650422041727</c:v>
                </c:pt>
                <c:pt idx="53">
                  <c:v>250.8941487498009</c:v>
                </c:pt>
                <c:pt idx="54">
                  <c:v>291.45924112119764</c:v>
                </c:pt>
                <c:pt idx="55">
                  <c:v>264.647861920688</c:v>
                </c:pt>
                <c:pt idx="56">
                  <c:v>165.55530020703935</c:v>
                </c:pt>
                <c:pt idx="57">
                  <c:v>192.29961458831025</c:v>
                </c:pt>
                <c:pt idx="58">
                  <c:v>203.8692347507565</c:v>
                </c:pt>
                <c:pt idx="59">
                  <c:v>187.53339385252428</c:v>
                </c:pt>
                <c:pt idx="61">
                  <c:v>200.39716754260232</c:v>
                </c:pt>
                <c:pt idx="62">
                  <c:v>225.26108616021656</c:v>
                </c:pt>
                <c:pt idx="63">
                  <c:v>238.672038541169</c:v>
                </c:pt>
                <c:pt idx="64">
                  <c:v>222.90788103201146</c:v>
                </c:pt>
                <c:pt idx="65">
                  <c:v>238.87260232521103</c:v>
                </c:pt>
                <c:pt idx="66">
                  <c:v>242.99892339544516</c:v>
                </c:pt>
                <c:pt idx="67">
                  <c:v>225.25109810479375</c:v>
                </c:pt>
                <c:pt idx="68">
                  <c:v>229.95628523650262</c:v>
                </c:pt>
                <c:pt idx="69">
                  <c:v>273.6965846472368</c:v>
                </c:pt>
                <c:pt idx="70">
                  <c:v>224.528834209269</c:v>
                </c:pt>
                <c:pt idx="71">
                  <c:v>234.1918498168498</c:v>
                </c:pt>
                <c:pt idx="75">
                  <c:v>63.76056219143176</c:v>
                </c:pt>
                <c:pt idx="77">
                  <c:v>140.05431836279664</c:v>
                </c:pt>
                <c:pt idx="78">
                  <c:v>173.18874502309285</c:v>
                </c:pt>
                <c:pt idx="79">
                  <c:v>248.30026676222326</c:v>
                </c:pt>
                <c:pt idx="80">
                  <c:v>226.95135929288102</c:v>
                </c:pt>
                <c:pt idx="81">
                  <c:v>308.01654722089506</c:v>
                </c:pt>
                <c:pt idx="82">
                  <c:v>274.1374128045867</c:v>
                </c:pt>
                <c:pt idx="83">
                  <c:v>171.3629590699156</c:v>
                </c:pt>
                <c:pt idx="84">
                  <c:v>142.41170488931357</c:v>
                </c:pt>
                <c:pt idx="90">
                  <c:v>169.12425784360568</c:v>
                </c:pt>
              </c:numCache>
            </c:numRef>
          </c:val>
          <c:smooth val="0"/>
        </c:ser>
        <c:marker val="1"/>
        <c:axId val="45159127"/>
        <c:axId val="3778960"/>
      </c:lineChart>
      <c:dateAx>
        <c:axId val="4515912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778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Zn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data'!$AV$8:$AV$98</c:f>
              <c:numCache>
                <c:ptCount val="91"/>
                <c:pt idx="0">
                  <c:v>0.061538461538461535</c:v>
                </c:pt>
                <c:pt idx="1">
                  <c:v>0.061538461538461535</c:v>
                </c:pt>
                <c:pt idx="2">
                  <c:v>0.09230769230769231</c:v>
                </c:pt>
                <c:pt idx="3">
                  <c:v>0.061538461538461535</c:v>
                </c:pt>
                <c:pt idx="4">
                  <c:v>0.061538461538461535</c:v>
                </c:pt>
                <c:pt idx="6">
                  <c:v>0.061538461538461535</c:v>
                </c:pt>
                <c:pt idx="7">
                  <c:v>0.061538461538461535</c:v>
                </c:pt>
                <c:pt idx="8">
                  <c:v>0.061538461538461535</c:v>
                </c:pt>
                <c:pt idx="9">
                  <c:v>0.09230769230769231</c:v>
                </c:pt>
                <c:pt idx="11">
                  <c:v>0.07692307692307693</c:v>
                </c:pt>
                <c:pt idx="13">
                  <c:v>0.061538461538461535</c:v>
                </c:pt>
                <c:pt idx="14">
                  <c:v>0.14461538461538462</c:v>
                </c:pt>
                <c:pt idx="15">
                  <c:v>0.061538461538461535</c:v>
                </c:pt>
                <c:pt idx="16">
                  <c:v>0.14461538461538462</c:v>
                </c:pt>
                <c:pt idx="17">
                  <c:v>0.061538461538461535</c:v>
                </c:pt>
                <c:pt idx="18">
                  <c:v>0.061538461538461535</c:v>
                </c:pt>
                <c:pt idx="19">
                  <c:v>0.061538461538461535</c:v>
                </c:pt>
                <c:pt idx="20">
                  <c:v>0.061538461538461535</c:v>
                </c:pt>
                <c:pt idx="21">
                  <c:v>0.061538461538461535</c:v>
                </c:pt>
                <c:pt idx="22">
                  <c:v>0.061538461538461535</c:v>
                </c:pt>
                <c:pt idx="23">
                  <c:v>0.061538461538461535</c:v>
                </c:pt>
                <c:pt idx="25">
                  <c:v>0.061538461538461535</c:v>
                </c:pt>
                <c:pt idx="27">
                  <c:v>0.061538461538461535</c:v>
                </c:pt>
                <c:pt idx="28">
                  <c:v>0.061538461538461535</c:v>
                </c:pt>
                <c:pt idx="29">
                  <c:v>0.2769230769230769</c:v>
                </c:pt>
                <c:pt idx="30">
                  <c:v>0.2153846153846154</c:v>
                </c:pt>
                <c:pt idx="31">
                  <c:v>0.09230769230769231</c:v>
                </c:pt>
                <c:pt idx="32">
                  <c:v>0.061538461538461535</c:v>
                </c:pt>
                <c:pt idx="33">
                  <c:v>0.061538461538461535</c:v>
                </c:pt>
                <c:pt idx="34">
                  <c:v>0.061538461538461535</c:v>
                </c:pt>
                <c:pt idx="35">
                  <c:v>0.061538461538461535</c:v>
                </c:pt>
                <c:pt idx="36">
                  <c:v>0.061692307692307685</c:v>
                </c:pt>
                <c:pt idx="37">
                  <c:v>0.061538461538461535</c:v>
                </c:pt>
                <c:pt idx="38">
                  <c:v>0.061538461538461535</c:v>
                </c:pt>
                <c:pt idx="39">
                  <c:v>0.061538461538461535</c:v>
                </c:pt>
                <c:pt idx="40">
                  <c:v>0.10323076923076922</c:v>
                </c:pt>
                <c:pt idx="41">
                  <c:v>0.2698153846153846</c:v>
                </c:pt>
                <c:pt idx="42">
                  <c:v>0.08092307692307693</c:v>
                </c:pt>
                <c:pt idx="43">
                  <c:v>0.09787692307692307</c:v>
                </c:pt>
                <c:pt idx="44">
                  <c:v>0.061538461538461535</c:v>
                </c:pt>
                <c:pt idx="46">
                  <c:v>0.061538461538461535</c:v>
                </c:pt>
                <c:pt idx="47">
                  <c:v>0.061538461538461535</c:v>
                </c:pt>
                <c:pt idx="48">
                  <c:v>0.061538461538461535</c:v>
                </c:pt>
                <c:pt idx="50">
                  <c:v>0.061538461538461535</c:v>
                </c:pt>
                <c:pt idx="51">
                  <c:v>0.061538461538461535</c:v>
                </c:pt>
                <c:pt idx="52">
                  <c:v>0.061538461538461535</c:v>
                </c:pt>
                <c:pt idx="53">
                  <c:v>0.061538461538461535</c:v>
                </c:pt>
                <c:pt idx="54">
                  <c:v>0.17172307692307692</c:v>
                </c:pt>
                <c:pt idx="55">
                  <c:v>0.061538461538461535</c:v>
                </c:pt>
                <c:pt idx="56">
                  <c:v>0.061538461538461535</c:v>
                </c:pt>
                <c:pt idx="57">
                  <c:v>0.061538461538461535</c:v>
                </c:pt>
                <c:pt idx="58">
                  <c:v>0.061538461538461535</c:v>
                </c:pt>
                <c:pt idx="59">
                  <c:v>0.061538461538461535</c:v>
                </c:pt>
                <c:pt idx="61">
                  <c:v>0.061538461538461535</c:v>
                </c:pt>
                <c:pt idx="62">
                  <c:v>0.061538461538461535</c:v>
                </c:pt>
                <c:pt idx="63">
                  <c:v>0.061538461538461535</c:v>
                </c:pt>
                <c:pt idx="64">
                  <c:v>0.061538461538461535</c:v>
                </c:pt>
                <c:pt idx="65">
                  <c:v>0.08427692307692308</c:v>
                </c:pt>
                <c:pt idx="66">
                  <c:v>0.061538461538461535</c:v>
                </c:pt>
                <c:pt idx="67">
                  <c:v>0.06806153846153845</c:v>
                </c:pt>
                <c:pt idx="68">
                  <c:v>0.0764</c:v>
                </c:pt>
                <c:pt idx="69">
                  <c:v>0.0636</c:v>
                </c:pt>
                <c:pt idx="70">
                  <c:v>0.06393846153846154</c:v>
                </c:pt>
                <c:pt idx="71">
                  <c:v>0.061538461538461535</c:v>
                </c:pt>
                <c:pt idx="75">
                  <c:v>0.061538461538461535</c:v>
                </c:pt>
                <c:pt idx="77">
                  <c:v>0.07673846153846153</c:v>
                </c:pt>
                <c:pt idx="78">
                  <c:v>0.061538461538461535</c:v>
                </c:pt>
                <c:pt idx="79">
                  <c:v>0.061538461538461535</c:v>
                </c:pt>
                <c:pt idx="80">
                  <c:v>0.061538461538461535</c:v>
                </c:pt>
                <c:pt idx="81">
                  <c:v>0.061538461538461535</c:v>
                </c:pt>
                <c:pt idx="82">
                  <c:v>0.061538461538461535</c:v>
                </c:pt>
                <c:pt idx="83">
                  <c:v>0.061538461538461535</c:v>
                </c:pt>
                <c:pt idx="84">
                  <c:v>0.07603076923076924</c:v>
                </c:pt>
                <c:pt idx="90">
                  <c:v>0.061538461538461535</c:v>
                </c:pt>
              </c:numCache>
            </c:numRef>
          </c:val>
          <c:smooth val="0"/>
        </c:ser>
        <c:marker val="1"/>
        <c:axId val="34010641"/>
        <c:axId val="37660314"/>
      </c:lineChart>
      <c:dateAx>
        <c:axId val="3401064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031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766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data'!$AM$8:$AM$98</c:f>
              <c:numCache>
                <c:ptCount val="91"/>
                <c:pt idx="0">
                  <c:v>22.16</c:v>
                </c:pt>
                <c:pt idx="1">
                  <c:v>25.19</c:v>
                </c:pt>
                <c:pt idx="2">
                  <c:v>23.985</c:v>
                </c:pt>
                <c:pt idx="3">
                  <c:v>26.205</c:v>
                </c:pt>
                <c:pt idx="4">
                  <c:v>28.355</c:v>
                </c:pt>
                <c:pt idx="6">
                  <c:v>24.385</c:v>
                </c:pt>
                <c:pt idx="7">
                  <c:v>27.66</c:v>
                </c:pt>
                <c:pt idx="8">
                  <c:v>25.94</c:v>
                </c:pt>
                <c:pt idx="9">
                  <c:v>25.490000000000002</c:v>
                </c:pt>
                <c:pt idx="11">
                  <c:v>24.79</c:v>
                </c:pt>
                <c:pt idx="13">
                  <c:v>29.88</c:v>
                </c:pt>
                <c:pt idx="14">
                  <c:v>23.044999999999998</c:v>
                </c:pt>
                <c:pt idx="15">
                  <c:v>25.195000000000004</c:v>
                </c:pt>
                <c:pt idx="16">
                  <c:v>23.634999999999998</c:v>
                </c:pt>
                <c:pt idx="17">
                  <c:v>28.060000000000002</c:v>
                </c:pt>
                <c:pt idx="18">
                  <c:v>29.144999999999996</c:v>
                </c:pt>
                <c:pt idx="19">
                  <c:v>25.009999999999998</c:v>
                </c:pt>
                <c:pt idx="20">
                  <c:v>23.57</c:v>
                </c:pt>
                <c:pt idx="21">
                  <c:v>24.87</c:v>
                </c:pt>
                <c:pt idx="22">
                  <c:v>30.475</c:v>
                </c:pt>
                <c:pt idx="23">
                  <c:v>26.250000000000004</c:v>
                </c:pt>
                <c:pt idx="27">
                  <c:v>26.474999999999998</c:v>
                </c:pt>
                <c:pt idx="28">
                  <c:v>25.535000000000004</c:v>
                </c:pt>
                <c:pt idx="29">
                  <c:v>25.500000000000004</c:v>
                </c:pt>
                <c:pt idx="30">
                  <c:v>28.499999999999996</c:v>
                </c:pt>
                <c:pt idx="31">
                  <c:v>29.5</c:v>
                </c:pt>
                <c:pt idx="32">
                  <c:v>17.150000000000002</c:v>
                </c:pt>
                <c:pt idx="33">
                  <c:v>24</c:v>
                </c:pt>
                <c:pt idx="34">
                  <c:v>23.5</c:v>
                </c:pt>
                <c:pt idx="35">
                  <c:v>26.759999999999998</c:v>
                </c:pt>
                <c:pt idx="36">
                  <c:v>32.5</c:v>
                </c:pt>
                <c:pt idx="37">
                  <c:v>33</c:v>
                </c:pt>
                <c:pt idx="38">
                  <c:v>29.304999999999996</c:v>
                </c:pt>
                <c:pt idx="39">
                  <c:v>29.88</c:v>
                </c:pt>
                <c:pt idx="40">
                  <c:v>33.23</c:v>
                </c:pt>
                <c:pt idx="41">
                  <c:v>30.309999999999995</c:v>
                </c:pt>
                <c:pt idx="42">
                  <c:v>32.58</c:v>
                </c:pt>
                <c:pt idx="43">
                  <c:v>36.445</c:v>
                </c:pt>
                <c:pt idx="44">
                  <c:v>35.205</c:v>
                </c:pt>
                <c:pt idx="46">
                  <c:v>21.73</c:v>
                </c:pt>
                <c:pt idx="47">
                  <c:v>22.564999999999998</c:v>
                </c:pt>
                <c:pt idx="48">
                  <c:v>25.015</c:v>
                </c:pt>
                <c:pt idx="50">
                  <c:v>21.295</c:v>
                </c:pt>
                <c:pt idx="51">
                  <c:v>30.205</c:v>
                </c:pt>
                <c:pt idx="52">
                  <c:v>22.04</c:v>
                </c:pt>
                <c:pt idx="53">
                  <c:v>47.29</c:v>
                </c:pt>
                <c:pt idx="54">
                  <c:v>45.95</c:v>
                </c:pt>
                <c:pt idx="55">
                  <c:v>48.4</c:v>
                </c:pt>
                <c:pt idx="56">
                  <c:v>23.22</c:v>
                </c:pt>
                <c:pt idx="57">
                  <c:v>29.394999999999996</c:v>
                </c:pt>
                <c:pt idx="58">
                  <c:v>30.125000000000004</c:v>
                </c:pt>
                <c:pt idx="59">
                  <c:v>26.445000000000004</c:v>
                </c:pt>
                <c:pt idx="61">
                  <c:v>27.635</c:v>
                </c:pt>
                <c:pt idx="62">
                  <c:v>34.29</c:v>
                </c:pt>
                <c:pt idx="63">
                  <c:v>33.57</c:v>
                </c:pt>
                <c:pt idx="64">
                  <c:v>34.589999999999996</c:v>
                </c:pt>
                <c:pt idx="65">
                  <c:v>35.78</c:v>
                </c:pt>
                <c:pt idx="66">
                  <c:v>38.760000000000005</c:v>
                </c:pt>
                <c:pt idx="67">
                  <c:v>27.029999999999998</c:v>
                </c:pt>
                <c:pt idx="68">
                  <c:v>33.785</c:v>
                </c:pt>
                <c:pt idx="69">
                  <c:v>40.794999999999995</c:v>
                </c:pt>
                <c:pt idx="70">
                  <c:v>34.85</c:v>
                </c:pt>
                <c:pt idx="71">
                  <c:v>38.449999999999996</c:v>
                </c:pt>
                <c:pt idx="75">
                  <c:v>9.68</c:v>
                </c:pt>
                <c:pt idx="77">
                  <c:v>19.259999999999998</c:v>
                </c:pt>
                <c:pt idx="78">
                  <c:v>27.720000000000002</c:v>
                </c:pt>
                <c:pt idx="79">
                  <c:v>42.625</c:v>
                </c:pt>
                <c:pt idx="80">
                  <c:v>33.99</c:v>
                </c:pt>
                <c:pt idx="81">
                  <c:v>51.1</c:v>
                </c:pt>
                <c:pt idx="82">
                  <c:v>38.285</c:v>
                </c:pt>
                <c:pt idx="83">
                  <c:v>27.255000000000003</c:v>
                </c:pt>
                <c:pt idx="84">
                  <c:v>9.729999999999999</c:v>
                </c:pt>
                <c:pt idx="90">
                  <c:v>23.384999999999998</c:v>
                </c:pt>
              </c:numCache>
            </c:numRef>
          </c:val>
          <c:smooth val="0"/>
        </c:ser>
        <c:marker val="1"/>
        <c:axId val="4420327"/>
        <c:axId val="39782944"/>
      </c:lineChart>
      <c:dateAx>
        <c:axId val="442032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782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Cation:Anion ratio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725"/>
          <c:w val="0.9197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data'!$BS$8:$BS$98</c:f>
              <c:numCache>
                <c:ptCount val="91"/>
                <c:pt idx="0">
                  <c:v>1.396454737547241</c:v>
                </c:pt>
                <c:pt idx="1">
                  <c:v>1.486917845918535</c:v>
                </c:pt>
                <c:pt idx="2">
                  <c:v>1.364132543671546</c:v>
                </c:pt>
                <c:pt idx="3">
                  <c:v>1.3031498297164148</c:v>
                </c:pt>
                <c:pt idx="4">
                  <c:v>1.543331774952921</c:v>
                </c:pt>
                <c:pt idx="6">
                  <c:v>1.3412555313170695</c:v>
                </c:pt>
                <c:pt idx="7">
                  <c:v>1.4087659056700967</c:v>
                </c:pt>
                <c:pt idx="8">
                  <c:v>1.292836442094197</c:v>
                </c:pt>
                <c:pt idx="9">
                  <c:v>1.3804192333330088</c:v>
                </c:pt>
                <c:pt idx="11">
                  <c:v>1.44563827567675</c:v>
                </c:pt>
                <c:pt idx="13">
                  <c:v>1.3731905644394373</c:v>
                </c:pt>
                <c:pt idx="14">
                  <c:v>1.3665860006507855</c:v>
                </c:pt>
                <c:pt idx="15">
                  <c:v>1.6361521417838911</c:v>
                </c:pt>
                <c:pt idx="16">
                  <c:v>1.538790219168503</c:v>
                </c:pt>
                <c:pt idx="17">
                  <c:v>1.4013601590383629</c:v>
                </c:pt>
                <c:pt idx="18">
                  <c:v>1.3350363982395692</c:v>
                </c:pt>
                <c:pt idx="19">
                  <c:v>1.4165696030368375</c:v>
                </c:pt>
                <c:pt idx="20">
                  <c:v>1.059807332060876</c:v>
                </c:pt>
                <c:pt idx="21">
                  <c:v>1.494233513711996</c:v>
                </c:pt>
                <c:pt idx="22">
                  <c:v>1.3360765225844866</c:v>
                </c:pt>
                <c:pt idx="23">
                  <c:v>1.3606976182464605</c:v>
                </c:pt>
                <c:pt idx="27">
                  <c:v>1.3418542747576927</c:v>
                </c:pt>
                <c:pt idx="28">
                  <c:v>1.343678042895783</c:v>
                </c:pt>
                <c:pt idx="29">
                  <c:v>1.3036701599690668</c:v>
                </c:pt>
                <c:pt idx="30">
                  <c:v>1.271105660808059</c:v>
                </c:pt>
                <c:pt idx="31">
                  <c:v>1.5286972523671793</c:v>
                </c:pt>
                <c:pt idx="32">
                  <c:v>1.5471077107741056</c:v>
                </c:pt>
                <c:pt idx="33">
                  <c:v>1.3784409258125576</c:v>
                </c:pt>
                <c:pt idx="34">
                  <c:v>1.1761006008973096</c:v>
                </c:pt>
                <c:pt idx="35">
                  <c:v>1.4917785558110719</c:v>
                </c:pt>
                <c:pt idx="36">
                  <c:v>1.609204274048355</c:v>
                </c:pt>
                <c:pt idx="37">
                  <c:v>2.09861031716816</c:v>
                </c:pt>
                <c:pt idx="38">
                  <c:v>2.0201033262154953</c:v>
                </c:pt>
                <c:pt idx="39">
                  <c:v>1.6037988408145596</c:v>
                </c:pt>
                <c:pt idx="40">
                  <c:v>1.743652745084501</c:v>
                </c:pt>
                <c:pt idx="41">
                  <c:v>1.535563317221052</c:v>
                </c:pt>
                <c:pt idx="42">
                  <c:v>1.4808745911431656</c:v>
                </c:pt>
                <c:pt idx="43">
                  <c:v>1.641065796264831</c:v>
                </c:pt>
                <c:pt idx="44">
                  <c:v>1.3247224015443404</c:v>
                </c:pt>
                <c:pt idx="46">
                  <c:v>0.8602995216935315</c:v>
                </c:pt>
                <c:pt idx="47">
                  <c:v>1.482014354154199</c:v>
                </c:pt>
                <c:pt idx="48">
                  <c:v>1.4217393741658384</c:v>
                </c:pt>
                <c:pt idx="50">
                  <c:v>1.2244391406731951</c:v>
                </c:pt>
                <c:pt idx="51">
                  <c:v>0.9488906531065406</c:v>
                </c:pt>
                <c:pt idx="52">
                  <c:v>1.3363633809491868</c:v>
                </c:pt>
                <c:pt idx="53">
                  <c:v>1.9931103042547151</c:v>
                </c:pt>
                <c:pt idx="54">
                  <c:v>2.1414040599460593</c:v>
                </c:pt>
                <c:pt idx="55">
                  <c:v>1.97611641366435</c:v>
                </c:pt>
                <c:pt idx="56">
                  <c:v>1.0025039967381064</c:v>
                </c:pt>
                <c:pt idx="57">
                  <c:v>1.2839508701268565</c:v>
                </c:pt>
                <c:pt idx="58">
                  <c:v>1.614712180204877</c:v>
                </c:pt>
                <c:pt idx="59">
                  <c:v>1.5525182618648723</c:v>
                </c:pt>
                <c:pt idx="61">
                  <c:v>1.7078177751648476</c:v>
                </c:pt>
                <c:pt idx="62">
                  <c:v>1.9150666801738152</c:v>
                </c:pt>
                <c:pt idx="63">
                  <c:v>1.7723860579317263</c:v>
                </c:pt>
                <c:pt idx="64">
                  <c:v>1.725856141957052</c:v>
                </c:pt>
                <c:pt idx="65">
                  <c:v>1.8165882956343888</c:v>
                </c:pt>
                <c:pt idx="66">
                  <c:v>1.971856536968841</c:v>
                </c:pt>
                <c:pt idx="67">
                  <c:v>1.512566265148486</c:v>
                </c:pt>
                <c:pt idx="68">
                  <c:v>1.6485376653964214</c:v>
                </c:pt>
                <c:pt idx="69">
                  <c:v>2.4569050004080033</c:v>
                </c:pt>
                <c:pt idx="70">
                  <c:v>1.7912841703864992</c:v>
                </c:pt>
                <c:pt idx="71">
                  <c:v>1.8147523765547935</c:v>
                </c:pt>
                <c:pt idx="75">
                  <c:v>2.0288373805173974</c:v>
                </c:pt>
                <c:pt idx="77">
                  <c:v>1.7672986879553958</c:v>
                </c:pt>
                <c:pt idx="78">
                  <c:v>1.7480002669776042</c:v>
                </c:pt>
                <c:pt idx="79">
                  <c:v>1.8964378325199438</c:v>
                </c:pt>
                <c:pt idx="80">
                  <c:v>2.080871448588633</c:v>
                </c:pt>
                <c:pt idx="81">
                  <c:v>2.679678021601898</c:v>
                </c:pt>
                <c:pt idx="82">
                  <c:v>2.264529017739092</c:v>
                </c:pt>
                <c:pt idx="83">
                  <c:v>1.4801446944899446</c:v>
                </c:pt>
                <c:pt idx="84">
                  <c:v>1.2700811530507312</c:v>
                </c:pt>
                <c:pt idx="90">
                  <c:v>1.5114357089211832</c:v>
                </c:pt>
              </c:numCache>
            </c:numRef>
          </c:val>
          <c:smooth val="0"/>
        </c:ser>
        <c:marker val="1"/>
        <c:axId val="22502177"/>
        <c:axId val="1193002"/>
      </c:lineChart>
      <c:dateAx>
        <c:axId val="22502177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1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Cation:Anion ratio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217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Cl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data'!$AQ$8:$AQ$98</c:f>
              <c:numCache>
                <c:ptCount val="91"/>
                <c:pt idx="0">
                  <c:v>73.65714285714286</c:v>
                </c:pt>
                <c:pt idx="1">
                  <c:v>73.57142857142858</c:v>
                </c:pt>
                <c:pt idx="2">
                  <c:v>82.82857142857144</c:v>
                </c:pt>
                <c:pt idx="3">
                  <c:v>87.45714285714286</c:v>
                </c:pt>
                <c:pt idx="4">
                  <c:v>72.45714285714286</c:v>
                </c:pt>
                <c:pt idx="6">
                  <c:v>73.42857142857143</c:v>
                </c:pt>
                <c:pt idx="7">
                  <c:v>75.37142857142858</c:v>
                </c:pt>
                <c:pt idx="8">
                  <c:v>97.8</c:v>
                </c:pt>
                <c:pt idx="9">
                  <c:v>75.91428571428571</c:v>
                </c:pt>
                <c:pt idx="11">
                  <c:v>72.6</c:v>
                </c:pt>
                <c:pt idx="13">
                  <c:v>84</c:v>
                </c:pt>
                <c:pt idx="14">
                  <c:v>80.62857142857142</c:v>
                </c:pt>
                <c:pt idx="15">
                  <c:v>69.02857142857142</c:v>
                </c:pt>
                <c:pt idx="16">
                  <c:v>64.17142857142858</c:v>
                </c:pt>
                <c:pt idx="17">
                  <c:v>79.11428571428571</c:v>
                </c:pt>
                <c:pt idx="18">
                  <c:v>83.77142857142857</c:v>
                </c:pt>
                <c:pt idx="19">
                  <c:v>78.25714285714285</c:v>
                </c:pt>
                <c:pt idx="20">
                  <c:v>118.08571428571427</c:v>
                </c:pt>
                <c:pt idx="21">
                  <c:v>78.85714285714285</c:v>
                </c:pt>
                <c:pt idx="22">
                  <c:v>88.82857142857142</c:v>
                </c:pt>
                <c:pt idx="23">
                  <c:v>81.02857142857142</c:v>
                </c:pt>
                <c:pt idx="27">
                  <c:v>73.05714285714286</c:v>
                </c:pt>
                <c:pt idx="28">
                  <c:v>87.34714285714286</c:v>
                </c:pt>
                <c:pt idx="29">
                  <c:v>79.42857142857142</c:v>
                </c:pt>
                <c:pt idx="30">
                  <c:v>71.28571428571429</c:v>
                </c:pt>
                <c:pt idx="31">
                  <c:v>74.8</c:v>
                </c:pt>
                <c:pt idx="32">
                  <c:v>77.02857142857144</c:v>
                </c:pt>
                <c:pt idx="33">
                  <c:v>79.82857142857144</c:v>
                </c:pt>
                <c:pt idx="34">
                  <c:v>82.31428571428572</c:v>
                </c:pt>
                <c:pt idx="35">
                  <c:v>88.25714285714285</c:v>
                </c:pt>
                <c:pt idx="36">
                  <c:v>78.94285714285714</c:v>
                </c:pt>
                <c:pt idx="37">
                  <c:v>80.91428571428571</c:v>
                </c:pt>
                <c:pt idx="38">
                  <c:v>82.37142857142857</c:v>
                </c:pt>
                <c:pt idx="39">
                  <c:v>78.65714285714286</c:v>
                </c:pt>
                <c:pt idx="40">
                  <c:v>74.54285714285714</c:v>
                </c:pt>
                <c:pt idx="41">
                  <c:v>82.54285714285714</c:v>
                </c:pt>
                <c:pt idx="42">
                  <c:v>82.826</c:v>
                </c:pt>
                <c:pt idx="43">
                  <c:v>85.65142857142855</c:v>
                </c:pt>
                <c:pt idx="44">
                  <c:v>116.11428571428571</c:v>
                </c:pt>
                <c:pt idx="46">
                  <c:v>136.62857142857143</c:v>
                </c:pt>
                <c:pt idx="47">
                  <c:v>76.22857142857144</c:v>
                </c:pt>
                <c:pt idx="48">
                  <c:v>72.71428571428572</c:v>
                </c:pt>
                <c:pt idx="50">
                  <c:v>75.42857142857143</c:v>
                </c:pt>
                <c:pt idx="51">
                  <c:v>148.4</c:v>
                </c:pt>
                <c:pt idx="52">
                  <c:v>75.94285714285715</c:v>
                </c:pt>
                <c:pt idx="53">
                  <c:v>80.02857142857144</c:v>
                </c:pt>
                <c:pt idx="54">
                  <c:v>89.94285714285715</c:v>
                </c:pt>
                <c:pt idx="55">
                  <c:v>83.82857142857144</c:v>
                </c:pt>
                <c:pt idx="56">
                  <c:v>113.5142857142857</c:v>
                </c:pt>
                <c:pt idx="57">
                  <c:v>101.6</c:v>
                </c:pt>
                <c:pt idx="58">
                  <c:v>79.11428571428571</c:v>
                </c:pt>
                <c:pt idx="59">
                  <c:v>80.11428571428571</c:v>
                </c:pt>
                <c:pt idx="61">
                  <c:v>77</c:v>
                </c:pt>
                <c:pt idx="62">
                  <c:v>73.2</c:v>
                </c:pt>
                <c:pt idx="63">
                  <c:v>87.48571428571428</c:v>
                </c:pt>
                <c:pt idx="64">
                  <c:v>82.19999999999999</c:v>
                </c:pt>
                <c:pt idx="65">
                  <c:v>88.5142857142857</c:v>
                </c:pt>
                <c:pt idx="66">
                  <c:v>82</c:v>
                </c:pt>
                <c:pt idx="67">
                  <c:v>108.91428571428571</c:v>
                </c:pt>
                <c:pt idx="68">
                  <c:v>94</c:v>
                </c:pt>
                <c:pt idx="69">
                  <c:v>69.14285714285714</c:v>
                </c:pt>
                <c:pt idx="70">
                  <c:v>80.05714285714285</c:v>
                </c:pt>
                <c:pt idx="71">
                  <c:v>83.8</c:v>
                </c:pt>
                <c:pt idx="75">
                  <c:v>21.591428571428573</c:v>
                </c:pt>
                <c:pt idx="77">
                  <c:v>52.85714285714286</c:v>
                </c:pt>
                <c:pt idx="78">
                  <c:v>65.82857142857142</c:v>
                </c:pt>
                <c:pt idx="79">
                  <c:v>84.42857142857143</c:v>
                </c:pt>
                <c:pt idx="80">
                  <c:v>68.74285714285715</c:v>
                </c:pt>
                <c:pt idx="81">
                  <c:v>71.94285714285714</c:v>
                </c:pt>
                <c:pt idx="82">
                  <c:v>79.37142857142858</c:v>
                </c:pt>
                <c:pt idx="83">
                  <c:v>73.34285714285716</c:v>
                </c:pt>
                <c:pt idx="84">
                  <c:v>72.02857142857142</c:v>
                </c:pt>
                <c:pt idx="90">
                  <c:v>72.45714285714286</c:v>
                </c:pt>
              </c:numCache>
            </c:numRef>
          </c:val>
          <c:smooth val="0"/>
        </c:ser>
        <c:marker val="1"/>
        <c:axId val="10737019"/>
        <c:axId val="29524308"/>
      </c:lineChart>
      <c:dateAx>
        <c:axId val="10737019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430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952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Conductivity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data'!$T$8:$T$98</c:f>
              <c:numCache>
                <c:ptCount val="91"/>
                <c:pt idx="0">
                  <c:v>21.867</c:v>
                </c:pt>
                <c:pt idx="1">
                  <c:v>22.335</c:v>
                </c:pt>
                <c:pt idx="2">
                  <c:v>23.992</c:v>
                </c:pt>
                <c:pt idx="3">
                  <c:v>23.531</c:v>
                </c:pt>
                <c:pt idx="4">
                  <c:v>23.813</c:v>
                </c:pt>
                <c:pt idx="6">
                  <c:v>21.968</c:v>
                </c:pt>
                <c:pt idx="7">
                  <c:v>23.147</c:v>
                </c:pt>
                <c:pt idx="8">
                  <c:v>23.199</c:v>
                </c:pt>
                <c:pt idx="9">
                  <c:v>22.781</c:v>
                </c:pt>
                <c:pt idx="11">
                  <c:v>21.664</c:v>
                </c:pt>
                <c:pt idx="13">
                  <c:v>24.456</c:v>
                </c:pt>
                <c:pt idx="14">
                  <c:v>23.996</c:v>
                </c:pt>
                <c:pt idx="15">
                  <c:v>24.149</c:v>
                </c:pt>
                <c:pt idx="16">
                  <c:v>23.416</c:v>
                </c:pt>
                <c:pt idx="17">
                  <c:v>24.21</c:v>
                </c:pt>
                <c:pt idx="18">
                  <c:v>23.977</c:v>
                </c:pt>
                <c:pt idx="19">
                  <c:v>23.182</c:v>
                </c:pt>
                <c:pt idx="20">
                  <c:v>23.1</c:v>
                </c:pt>
                <c:pt idx="21">
                  <c:v>22.838</c:v>
                </c:pt>
                <c:pt idx="22">
                  <c:v>23.844</c:v>
                </c:pt>
                <c:pt idx="23">
                  <c:v>23.62</c:v>
                </c:pt>
                <c:pt idx="27">
                  <c:v>21.357</c:v>
                </c:pt>
                <c:pt idx="28">
                  <c:v>21.134</c:v>
                </c:pt>
                <c:pt idx="29">
                  <c:v>22.991</c:v>
                </c:pt>
                <c:pt idx="30">
                  <c:v>21.903</c:v>
                </c:pt>
                <c:pt idx="31">
                  <c:v>22.591</c:v>
                </c:pt>
                <c:pt idx="32">
                  <c:v>21.535</c:v>
                </c:pt>
                <c:pt idx="33">
                  <c:v>21.876</c:v>
                </c:pt>
                <c:pt idx="34">
                  <c:v>21.212</c:v>
                </c:pt>
                <c:pt idx="35">
                  <c:v>22.592</c:v>
                </c:pt>
                <c:pt idx="36">
                  <c:v>22.668</c:v>
                </c:pt>
                <c:pt idx="37">
                  <c:v>22.946</c:v>
                </c:pt>
                <c:pt idx="38">
                  <c:v>22.561</c:v>
                </c:pt>
                <c:pt idx="39">
                  <c:v>22.42</c:v>
                </c:pt>
                <c:pt idx="40">
                  <c:v>21.726</c:v>
                </c:pt>
                <c:pt idx="41">
                  <c:v>23.312</c:v>
                </c:pt>
                <c:pt idx="42">
                  <c:v>21.941</c:v>
                </c:pt>
                <c:pt idx="43">
                  <c:v>22.152</c:v>
                </c:pt>
                <c:pt idx="44">
                  <c:v>20.807</c:v>
                </c:pt>
                <c:pt idx="46">
                  <c:v>21.924</c:v>
                </c:pt>
                <c:pt idx="47">
                  <c:v>21.948</c:v>
                </c:pt>
                <c:pt idx="48">
                  <c:v>22.018</c:v>
                </c:pt>
                <c:pt idx="50">
                  <c:v>20.193</c:v>
                </c:pt>
                <c:pt idx="51">
                  <c:v>21.851</c:v>
                </c:pt>
                <c:pt idx="52">
                  <c:v>18.933</c:v>
                </c:pt>
                <c:pt idx="53">
                  <c:v>21.686</c:v>
                </c:pt>
                <c:pt idx="54">
                  <c:v>23.51</c:v>
                </c:pt>
                <c:pt idx="55">
                  <c:v>20.892</c:v>
                </c:pt>
                <c:pt idx="56">
                  <c:v>21.258</c:v>
                </c:pt>
                <c:pt idx="57">
                  <c:v>22.29</c:v>
                </c:pt>
                <c:pt idx="58">
                  <c:v>23.45</c:v>
                </c:pt>
                <c:pt idx="59">
                  <c:v>20.32</c:v>
                </c:pt>
                <c:pt idx="61">
                  <c:v>20.5</c:v>
                </c:pt>
                <c:pt idx="62">
                  <c:v>21.56</c:v>
                </c:pt>
                <c:pt idx="63">
                  <c:v>23.17</c:v>
                </c:pt>
                <c:pt idx="64">
                  <c:v>21.86</c:v>
                </c:pt>
                <c:pt idx="65">
                  <c:v>24.48</c:v>
                </c:pt>
                <c:pt idx="66">
                  <c:v>22.77</c:v>
                </c:pt>
                <c:pt idx="67">
                  <c:v>26.28</c:v>
                </c:pt>
                <c:pt idx="68">
                  <c:v>24.34</c:v>
                </c:pt>
                <c:pt idx="69">
                  <c:v>22.78</c:v>
                </c:pt>
                <c:pt idx="70">
                  <c:v>23.25</c:v>
                </c:pt>
                <c:pt idx="71">
                  <c:v>23.1</c:v>
                </c:pt>
                <c:pt idx="75">
                  <c:v>8.27</c:v>
                </c:pt>
                <c:pt idx="77">
                  <c:v>16.13</c:v>
                </c:pt>
                <c:pt idx="78">
                  <c:v>19.25</c:v>
                </c:pt>
                <c:pt idx="79">
                  <c:v>23.47</c:v>
                </c:pt>
                <c:pt idx="80">
                  <c:v>21.54</c:v>
                </c:pt>
                <c:pt idx="81">
                  <c:v>22.07</c:v>
                </c:pt>
                <c:pt idx="82">
                  <c:v>21.66</c:v>
                </c:pt>
                <c:pt idx="83">
                  <c:v>21.83</c:v>
                </c:pt>
                <c:pt idx="84">
                  <c:v>20.41</c:v>
                </c:pt>
                <c:pt idx="90">
                  <c:v>19.19</c:v>
                </c:pt>
              </c:numCache>
            </c:numRef>
          </c:val>
          <c:smooth val="0"/>
        </c:ser>
        <c:marker val="1"/>
        <c:axId val="64392181"/>
        <c:axId val="42658718"/>
      </c:lineChart>
      <c:dateAx>
        <c:axId val="6439218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µScm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Cu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data'!$AU$8:$AU$98</c:f>
              <c:numCache>
                <c:ptCount val="91"/>
                <c:pt idx="0">
                  <c:v>0.06349206349206349</c:v>
                </c:pt>
                <c:pt idx="1">
                  <c:v>0.08888888888888889</c:v>
                </c:pt>
                <c:pt idx="2">
                  <c:v>0.06349206349206349</c:v>
                </c:pt>
                <c:pt idx="3">
                  <c:v>0.06349206349206349</c:v>
                </c:pt>
                <c:pt idx="4">
                  <c:v>0.06349206349206349</c:v>
                </c:pt>
                <c:pt idx="6">
                  <c:v>0.06349206349206349</c:v>
                </c:pt>
                <c:pt idx="7">
                  <c:v>0.07301587301587302</c:v>
                </c:pt>
                <c:pt idx="8">
                  <c:v>0.06349206349206349</c:v>
                </c:pt>
                <c:pt idx="9">
                  <c:v>0.1841269841269841</c:v>
                </c:pt>
                <c:pt idx="11">
                  <c:v>0.06349206349206349</c:v>
                </c:pt>
                <c:pt idx="13">
                  <c:v>0.06349206349206349</c:v>
                </c:pt>
                <c:pt idx="14">
                  <c:v>0.06349206349206349</c:v>
                </c:pt>
                <c:pt idx="15">
                  <c:v>0.06349206349206349</c:v>
                </c:pt>
                <c:pt idx="16">
                  <c:v>0.06349206349206349</c:v>
                </c:pt>
                <c:pt idx="17">
                  <c:v>0.09523809523809525</c:v>
                </c:pt>
                <c:pt idx="18">
                  <c:v>0.1619047619047619</c:v>
                </c:pt>
                <c:pt idx="19">
                  <c:v>0.06349206349206349</c:v>
                </c:pt>
                <c:pt idx="20">
                  <c:v>0.06349206349206349</c:v>
                </c:pt>
                <c:pt idx="21">
                  <c:v>0.06349206349206349</c:v>
                </c:pt>
                <c:pt idx="22">
                  <c:v>0.06349206349206349</c:v>
                </c:pt>
                <c:pt idx="23">
                  <c:v>0.06349206349206349</c:v>
                </c:pt>
                <c:pt idx="25">
                  <c:v>0.06349206349206349</c:v>
                </c:pt>
                <c:pt idx="27">
                  <c:v>0.06349206349206349</c:v>
                </c:pt>
                <c:pt idx="28">
                  <c:v>0.06349206349206349</c:v>
                </c:pt>
                <c:pt idx="29">
                  <c:v>0.06349206349206349</c:v>
                </c:pt>
                <c:pt idx="30">
                  <c:v>0.06349206349206349</c:v>
                </c:pt>
                <c:pt idx="31">
                  <c:v>0.06349206349206349</c:v>
                </c:pt>
                <c:pt idx="32">
                  <c:v>0.06349206349206349</c:v>
                </c:pt>
                <c:pt idx="33">
                  <c:v>0.12698412698412698</c:v>
                </c:pt>
                <c:pt idx="34">
                  <c:v>0.06349206349206349</c:v>
                </c:pt>
                <c:pt idx="35">
                  <c:v>0.06349206349206349</c:v>
                </c:pt>
                <c:pt idx="36">
                  <c:v>0.06349206349206349</c:v>
                </c:pt>
                <c:pt idx="37">
                  <c:v>0.06349206349206349</c:v>
                </c:pt>
                <c:pt idx="38">
                  <c:v>0.06349206349206349</c:v>
                </c:pt>
                <c:pt idx="39">
                  <c:v>0.06349206349206349</c:v>
                </c:pt>
                <c:pt idx="40">
                  <c:v>0.06349206349206349</c:v>
                </c:pt>
                <c:pt idx="41">
                  <c:v>0.06349206349206349</c:v>
                </c:pt>
                <c:pt idx="42">
                  <c:v>0.06349206349206349</c:v>
                </c:pt>
                <c:pt idx="43">
                  <c:v>0.06349206349206349</c:v>
                </c:pt>
                <c:pt idx="44">
                  <c:v>0.06349206349206349</c:v>
                </c:pt>
                <c:pt idx="46">
                  <c:v>0.06349206349206349</c:v>
                </c:pt>
                <c:pt idx="47">
                  <c:v>0.06349206349206349</c:v>
                </c:pt>
                <c:pt idx="48">
                  <c:v>0.06349206349206349</c:v>
                </c:pt>
                <c:pt idx="50">
                  <c:v>0.06349206349206349</c:v>
                </c:pt>
                <c:pt idx="51">
                  <c:v>0.06349206349206349</c:v>
                </c:pt>
                <c:pt idx="52">
                  <c:v>0.23025396825396824</c:v>
                </c:pt>
                <c:pt idx="53">
                  <c:v>0.06349206349206349</c:v>
                </c:pt>
                <c:pt idx="54">
                  <c:v>0.06349206349206349</c:v>
                </c:pt>
                <c:pt idx="55">
                  <c:v>0.06349206349206349</c:v>
                </c:pt>
                <c:pt idx="56">
                  <c:v>0.06349206349206349</c:v>
                </c:pt>
                <c:pt idx="57">
                  <c:v>0.06349206349206349</c:v>
                </c:pt>
                <c:pt idx="58">
                  <c:v>0.06349206349206349</c:v>
                </c:pt>
                <c:pt idx="59">
                  <c:v>0.06349206349206349</c:v>
                </c:pt>
                <c:pt idx="61">
                  <c:v>0.06349206349206349</c:v>
                </c:pt>
                <c:pt idx="62">
                  <c:v>0.06349206349206349</c:v>
                </c:pt>
                <c:pt idx="63">
                  <c:v>0.06349206349206349</c:v>
                </c:pt>
                <c:pt idx="64">
                  <c:v>0.06349206349206349</c:v>
                </c:pt>
                <c:pt idx="65">
                  <c:v>0.06349206349206349</c:v>
                </c:pt>
                <c:pt idx="66">
                  <c:v>0.06349206349206349</c:v>
                </c:pt>
                <c:pt idx="67">
                  <c:v>0.06349206349206349</c:v>
                </c:pt>
                <c:pt idx="68">
                  <c:v>0.06349206349206349</c:v>
                </c:pt>
                <c:pt idx="69">
                  <c:v>0.06349206349206349</c:v>
                </c:pt>
                <c:pt idx="70">
                  <c:v>0.06349206349206349</c:v>
                </c:pt>
                <c:pt idx="71">
                  <c:v>0.06349206349206349</c:v>
                </c:pt>
                <c:pt idx="75">
                  <c:v>0.06349206349206349</c:v>
                </c:pt>
                <c:pt idx="77">
                  <c:v>0.06349206349206349</c:v>
                </c:pt>
                <c:pt idx="78">
                  <c:v>0.06349206349206349</c:v>
                </c:pt>
                <c:pt idx="79">
                  <c:v>0.06349206349206349</c:v>
                </c:pt>
                <c:pt idx="80">
                  <c:v>0.06349206349206349</c:v>
                </c:pt>
                <c:pt idx="81">
                  <c:v>0.06349206349206349</c:v>
                </c:pt>
                <c:pt idx="82">
                  <c:v>0.06349206349206349</c:v>
                </c:pt>
                <c:pt idx="83">
                  <c:v>0.06349206349206349</c:v>
                </c:pt>
                <c:pt idx="84">
                  <c:v>0.06349206349206349</c:v>
                </c:pt>
                <c:pt idx="90">
                  <c:v>0.06349206349206349</c:v>
                </c:pt>
              </c:numCache>
            </c:numRef>
          </c:val>
          <c:smooth val="0"/>
        </c:ser>
        <c:marker val="1"/>
        <c:axId val="48384143"/>
        <c:axId val="32804104"/>
      </c:lineChart>
      <c:dateAx>
        <c:axId val="4838414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DOC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data'!$Y$8:$Y$98</c:f>
              <c:numCache>
                <c:ptCount val="91"/>
                <c:pt idx="0">
                  <c:v>1.8</c:v>
                </c:pt>
                <c:pt idx="1">
                  <c:v>1.611</c:v>
                </c:pt>
                <c:pt idx="2">
                  <c:v>1.32</c:v>
                </c:pt>
                <c:pt idx="3">
                  <c:v>0.5</c:v>
                </c:pt>
                <c:pt idx="4">
                  <c:v>0.6627</c:v>
                </c:pt>
                <c:pt idx="6">
                  <c:v>0.5</c:v>
                </c:pt>
                <c:pt idx="7">
                  <c:v>0.7674</c:v>
                </c:pt>
                <c:pt idx="8">
                  <c:v>2.653</c:v>
                </c:pt>
                <c:pt idx="9">
                  <c:v>0.9936</c:v>
                </c:pt>
                <c:pt idx="11">
                  <c:v>2.488</c:v>
                </c:pt>
                <c:pt idx="13">
                  <c:v>0.5</c:v>
                </c:pt>
                <c:pt idx="14">
                  <c:v>0.5</c:v>
                </c:pt>
                <c:pt idx="15">
                  <c:v>1</c:v>
                </c:pt>
                <c:pt idx="16">
                  <c:v>0.6163</c:v>
                </c:pt>
                <c:pt idx="17">
                  <c:v>1.011</c:v>
                </c:pt>
                <c:pt idx="18">
                  <c:v>0.7505185743918538</c:v>
                </c:pt>
                <c:pt idx="19">
                  <c:v>1.699</c:v>
                </c:pt>
                <c:pt idx="20">
                  <c:v>0.8363</c:v>
                </c:pt>
                <c:pt idx="21">
                  <c:v>0.5619</c:v>
                </c:pt>
                <c:pt idx="22">
                  <c:v>0.5</c:v>
                </c:pt>
                <c:pt idx="23">
                  <c:v>1.2606597579305436</c:v>
                </c:pt>
                <c:pt idx="25">
                  <c:v>0.5</c:v>
                </c:pt>
                <c:pt idx="27">
                  <c:v>0.5</c:v>
                </c:pt>
                <c:pt idx="28">
                  <c:v>1.67</c:v>
                </c:pt>
                <c:pt idx="29">
                  <c:v>0.7</c:v>
                </c:pt>
                <c:pt idx="30">
                  <c:v>0.7</c:v>
                </c:pt>
                <c:pt idx="31">
                  <c:v>1.5</c:v>
                </c:pt>
                <c:pt idx="32">
                  <c:v>1.9</c:v>
                </c:pt>
                <c:pt idx="33">
                  <c:v>0.6</c:v>
                </c:pt>
                <c:pt idx="34">
                  <c:v>1.1</c:v>
                </c:pt>
                <c:pt idx="35">
                  <c:v>0.8548</c:v>
                </c:pt>
                <c:pt idx="36">
                  <c:v>0.5</c:v>
                </c:pt>
                <c:pt idx="37">
                  <c:v>0.5</c:v>
                </c:pt>
                <c:pt idx="38">
                  <c:v>0.8562</c:v>
                </c:pt>
                <c:pt idx="39">
                  <c:v>1.5765</c:v>
                </c:pt>
                <c:pt idx="40">
                  <c:v>0.759</c:v>
                </c:pt>
                <c:pt idx="41">
                  <c:v>0.5672</c:v>
                </c:pt>
                <c:pt idx="42">
                  <c:v>0.5</c:v>
                </c:pt>
                <c:pt idx="43">
                  <c:v>0.5</c:v>
                </c:pt>
                <c:pt idx="44">
                  <c:v>3.883</c:v>
                </c:pt>
                <c:pt idx="46">
                  <c:v>0.7817</c:v>
                </c:pt>
                <c:pt idx="47">
                  <c:v>0.546</c:v>
                </c:pt>
                <c:pt idx="48">
                  <c:v>0.5</c:v>
                </c:pt>
                <c:pt idx="50">
                  <c:v>1.099</c:v>
                </c:pt>
                <c:pt idx="51">
                  <c:v>0.8619</c:v>
                </c:pt>
                <c:pt idx="52">
                  <c:v>1.823</c:v>
                </c:pt>
                <c:pt idx="53">
                  <c:v>0.6187</c:v>
                </c:pt>
                <c:pt idx="54">
                  <c:v>1.377</c:v>
                </c:pt>
                <c:pt idx="55">
                  <c:v>0.5911</c:v>
                </c:pt>
                <c:pt idx="56">
                  <c:v>1.051</c:v>
                </c:pt>
                <c:pt idx="57">
                  <c:v>1.15</c:v>
                </c:pt>
                <c:pt idx="58">
                  <c:v>0.5</c:v>
                </c:pt>
                <c:pt idx="59">
                  <c:v>0.973</c:v>
                </c:pt>
                <c:pt idx="61">
                  <c:v>0.9039</c:v>
                </c:pt>
                <c:pt idx="62">
                  <c:v>0.5</c:v>
                </c:pt>
                <c:pt idx="63">
                  <c:v>0.7985</c:v>
                </c:pt>
                <c:pt idx="64">
                  <c:v>0.5556</c:v>
                </c:pt>
                <c:pt idx="65">
                  <c:v>1.395</c:v>
                </c:pt>
                <c:pt idx="66">
                  <c:v>0.7996</c:v>
                </c:pt>
                <c:pt idx="67">
                  <c:v>1.372</c:v>
                </c:pt>
                <c:pt idx="68">
                  <c:v>0.862</c:v>
                </c:pt>
                <c:pt idx="69">
                  <c:v>1.036</c:v>
                </c:pt>
                <c:pt idx="70">
                  <c:v>0.5</c:v>
                </c:pt>
                <c:pt idx="71">
                  <c:v>0.5</c:v>
                </c:pt>
                <c:pt idx="75">
                  <c:v>2.192</c:v>
                </c:pt>
                <c:pt idx="77">
                  <c:v>1.422</c:v>
                </c:pt>
                <c:pt idx="78">
                  <c:v>3.749</c:v>
                </c:pt>
                <c:pt idx="79">
                  <c:v>0.5</c:v>
                </c:pt>
                <c:pt idx="80">
                  <c:v>1.479</c:v>
                </c:pt>
                <c:pt idx="81">
                  <c:v>0.5</c:v>
                </c:pt>
                <c:pt idx="82">
                  <c:v>0.6609</c:v>
                </c:pt>
                <c:pt idx="83">
                  <c:v>0.5</c:v>
                </c:pt>
                <c:pt idx="84">
                  <c:v>0.8455</c:v>
                </c:pt>
                <c:pt idx="90">
                  <c:v>1.11</c:v>
                </c:pt>
              </c:numCache>
            </c:numRef>
          </c:val>
          <c:smooth val="0"/>
        </c:ser>
        <c:marker val="1"/>
        <c:axId val="26801481"/>
        <c:axId val="39886738"/>
      </c:lineChart>
      <c:dateAx>
        <c:axId val="26801481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Jmaes Hutton Institute 2011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8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148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Stream Gauge 8
Fe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725"/>
          <c:w val="0.91425"/>
          <c:h val="0.638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'Stream Gauge 8 data'!$A$8:$A$98</c:f>
              <c:strCache>
                <c:ptCount val="91"/>
                <c:pt idx="0">
                  <c:v>38278</c:v>
                </c:pt>
                <c:pt idx="1">
                  <c:v>38307</c:v>
                </c:pt>
                <c:pt idx="2">
                  <c:v>38335</c:v>
                </c:pt>
                <c:pt idx="3">
                  <c:v>38377</c:v>
                </c:pt>
                <c:pt idx="4">
                  <c:v>38391</c:v>
                </c:pt>
                <c:pt idx="5">
                  <c:v>38419</c:v>
                </c:pt>
                <c:pt idx="6">
                  <c:v>38433</c:v>
                </c:pt>
                <c:pt idx="7">
                  <c:v>38447</c:v>
                </c:pt>
                <c:pt idx="8">
                  <c:v>38461</c:v>
                </c:pt>
                <c:pt idx="9">
                  <c:v>38477</c:v>
                </c:pt>
                <c:pt idx="10">
                  <c:v>38489</c:v>
                </c:pt>
                <c:pt idx="11">
                  <c:v>38502</c:v>
                </c:pt>
                <c:pt idx="12">
                  <c:v>38530</c:v>
                </c:pt>
                <c:pt idx="13">
                  <c:v>38540</c:v>
                </c:pt>
                <c:pt idx="14">
                  <c:v>38559</c:v>
                </c:pt>
                <c:pt idx="15">
                  <c:v>38587</c:v>
                </c:pt>
                <c:pt idx="16">
                  <c:v>38601</c:v>
                </c:pt>
                <c:pt idx="17">
                  <c:v>38615</c:v>
                </c:pt>
                <c:pt idx="18">
                  <c:v>38643</c:v>
                </c:pt>
                <c:pt idx="19">
                  <c:v>38657</c:v>
                </c:pt>
                <c:pt idx="20">
                  <c:v>38671</c:v>
                </c:pt>
                <c:pt idx="21">
                  <c:v>38699</c:v>
                </c:pt>
                <c:pt idx="22">
                  <c:v>38727</c:v>
                </c:pt>
                <c:pt idx="23">
                  <c:v>38755</c:v>
                </c:pt>
                <c:pt idx="24">
                  <c:v>38810</c:v>
                </c:pt>
                <c:pt idx="25">
                  <c:v>38826</c:v>
                </c:pt>
                <c:pt idx="26">
                  <c:v>38841</c:v>
                </c:pt>
                <c:pt idx="27">
                  <c:v>38853</c:v>
                </c:pt>
                <c:pt idx="28">
                  <c:v>38867</c:v>
                </c:pt>
                <c:pt idx="29">
                  <c:v>38910</c:v>
                </c:pt>
                <c:pt idx="30">
                  <c:v>38965</c:v>
                </c:pt>
                <c:pt idx="31">
                  <c:v>38980</c:v>
                </c:pt>
                <c:pt idx="32">
                  <c:v>39021</c:v>
                </c:pt>
                <c:pt idx="33">
                  <c:v>39126</c:v>
                </c:pt>
                <c:pt idx="34">
                  <c:v>39140</c:v>
                </c:pt>
                <c:pt idx="35">
                  <c:v>39168</c:v>
                </c:pt>
                <c:pt idx="36">
                  <c:v>39182</c:v>
                </c:pt>
                <c:pt idx="37">
                  <c:v>39196</c:v>
                </c:pt>
                <c:pt idx="38">
                  <c:v>39224</c:v>
                </c:pt>
                <c:pt idx="39">
                  <c:v>39252</c:v>
                </c:pt>
                <c:pt idx="40">
                  <c:v>39293</c:v>
                </c:pt>
                <c:pt idx="41">
                  <c:v>39329</c:v>
                </c:pt>
                <c:pt idx="42">
                  <c:v>39350</c:v>
                </c:pt>
                <c:pt idx="43">
                  <c:v>39364</c:v>
                </c:pt>
                <c:pt idx="44">
                  <c:v>39428</c:v>
                </c:pt>
                <c:pt idx="45">
                  <c:v>39497</c:v>
                </c:pt>
                <c:pt idx="46">
                  <c:v>39511</c:v>
                </c:pt>
                <c:pt idx="47">
                  <c:v>39525</c:v>
                </c:pt>
                <c:pt idx="48">
                  <c:v>39535</c:v>
                </c:pt>
                <c:pt idx="49">
                  <c:v>39553</c:v>
                </c:pt>
                <c:pt idx="50">
                  <c:v>39575</c:v>
                </c:pt>
                <c:pt idx="51">
                  <c:v>39601</c:v>
                </c:pt>
                <c:pt idx="52">
                  <c:v>39637</c:v>
                </c:pt>
                <c:pt idx="53">
                  <c:v>39693</c:v>
                </c:pt>
                <c:pt idx="54">
                  <c:v>39707</c:v>
                </c:pt>
                <c:pt idx="55">
                  <c:v>39721</c:v>
                </c:pt>
                <c:pt idx="56">
                  <c:v>39735</c:v>
                </c:pt>
                <c:pt idx="57">
                  <c:v>39757</c:v>
                </c:pt>
                <c:pt idx="58">
                  <c:v>39840</c:v>
                </c:pt>
                <c:pt idx="59">
                  <c:v>39875</c:v>
                </c:pt>
                <c:pt idx="60">
                  <c:v>39899</c:v>
                </c:pt>
                <c:pt idx="61">
                  <c:v>39910</c:v>
                </c:pt>
                <c:pt idx="62">
                  <c:v>39925</c:v>
                </c:pt>
                <c:pt idx="63">
                  <c:v>39938</c:v>
                </c:pt>
                <c:pt idx="64">
                  <c:v>39952</c:v>
                </c:pt>
                <c:pt idx="65">
                  <c:v>39966</c:v>
                </c:pt>
                <c:pt idx="66">
                  <c:v>40050</c:v>
                </c:pt>
                <c:pt idx="67">
                  <c:v>40064</c:v>
                </c:pt>
                <c:pt idx="68">
                  <c:v>40078</c:v>
                </c:pt>
                <c:pt idx="69">
                  <c:v>40091</c:v>
                </c:pt>
                <c:pt idx="70">
                  <c:v>40106</c:v>
                </c:pt>
                <c:pt idx="71">
                  <c:v>40128</c:v>
                </c:pt>
                <c:pt idx="72">
                  <c:v>40226</c:v>
                </c:pt>
                <c:pt idx="73">
                  <c:v>40267</c:v>
                </c:pt>
                <c:pt idx="74">
                  <c:v>40281</c:v>
                </c:pt>
                <c:pt idx="75">
                  <c:v>40295</c:v>
                </c:pt>
                <c:pt idx="76">
                  <c:v>40309</c:v>
                </c:pt>
                <c:pt idx="77">
                  <c:v>40323</c:v>
                </c:pt>
                <c:pt idx="78">
                  <c:v>40337</c:v>
                </c:pt>
                <c:pt idx="79">
                  <c:v>40364</c:v>
                </c:pt>
                <c:pt idx="80">
                  <c:v>40400</c:v>
                </c:pt>
                <c:pt idx="81">
                  <c:v>40423</c:v>
                </c:pt>
                <c:pt idx="82">
                  <c:v>40449</c:v>
                </c:pt>
                <c:pt idx="83">
                  <c:v>40469</c:v>
                </c:pt>
                <c:pt idx="84">
                  <c:v>40491</c:v>
                </c:pt>
                <c:pt idx="85">
                  <c:v>40526</c:v>
                </c:pt>
                <c:pt idx="86">
                  <c:v>40555</c:v>
                </c:pt>
                <c:pt idx="87">
                  <c:v>40575</c:v>
                </c:pt>
                <c:pt idx="88">
                  <c:v>40597</c:v>
                </c:pt>
                <c:pt idx="89">
                  <c:v>40618</c:v>
                </c:pt>
                <c:pt idx="90">
                  <c:v>40631</c:v>
                </c:pt>
              </c:strCache>
            </c:strRef>
          </c:cat>
          <c:val>
            <c:numRef>
              <c:f>'Stream Gauge 8 data'!$AE$8:$AE$98</c:f>
              <c:numCache>
                <c:ptCount val="91"/>
                <c:pt idx="0">
                  <c:v>0.2142857142857143</c:v>
                </c:pt>
                <c:pt idx="1">
                  <c:v>0.2142857142857143</c:v>
                </c:pt>
                <c:pt idx="2">
                  <c:v>0.2142857142857143</c:v>
                </c:pt>
                <c:pt idx="3">
                  <c:v>0.2142857142857143</c:v>
                </c:pt>
                <c:pt idx="4">
                  <c:v>0.2142857142857143</c:v>
                </c:pt>
                <c:pt idx="6">
                  <c:v>0.2142857142857143</c:v>
                </c:pt>
                <c:pt idx="7">
                  <c:v>0.2142857142857143</c:v>
                </c:pt>
                <c:pt idx="8">
                  <c:v>0.2142857142857143</c:v>
                </c:pt>
                <c:pt idx="9">
                  <c:v>0.2142857142857143</c:v>
                </c:pt>
                <c:pt idx="11">
                  <c:v>0.2142857142857143</c:v>
                </c:pt>
                <c:pt idx="13">
                  <c:v>0.2142857142857143</c:v>
                </c:pt>
                <c:pt idx="14">
                  <c:v>0.2142857142857143</c:v>
                </c:pt>
                <c:pt idx="15">
                  <c:v>0.2142857142857143</c:v>
                </c:pt>
                <c:pt idx="16">
                  <c:v>0.35357142857142865</c:v>
                </c:pt>
                <c:pt idx="17">
                  <c:v>0.2142857142857143</c:v>
                </c:pt>
                <c:pt idx="18">
                  <c:v>0.2142857142857143</c:v>
                </c:pt>
                <c:pt idx="19">
                  <c:v>0.2142857142857143</c:v>
                </c:pt>
                <c:pt idx="20">
                  <c:v>0.2142857142857143</c:v>
                </c:pt>
                <c:pt idx="21">
                  <c:v>0.2142857142857143</c:v>
                </c:pt>
                <c:pt idx="22">
                  <c:v>0.2142857142857143</c:v>
                </c:pt>
                <c:pt idx="23">
                  <c:v>0.2142857142857143</c:v>
                </c:pt>
                <c:pt idx="25">
                  <c:v>0.2142857142857143</c:v>
                </c:pt>
                <c:pt idx="27">
                  <c:v>0.2142857142857143</c:v>
                </c:pt>
                <c:pt idx="28">
                  <c:v>0.2142857142857143</c:v>
                </c:pt>
                <c:pt idx="29">
                  <c:v>0.2142857142857143</c:v>
                </c:pt>
                <c:pt idx="30">
                  <c:v>0.2142857142857143</c:v>
                </c:pt>
                <c:pt idx="31">
                  <c:v>0.2142857142857143</c:v>
                </c:pt>
                <c:pt idx="32">
                  <c:v>0.2142857142857143</c:v>
                </c:pt>
                <c:pt idx="33">
                  <c:v>0.2142857142857143</c:v>
                </c:pt>
                <c:pt idx="34">
                  <c:v>0.2142857142857143</c:v>
                </c:pt>
                <c:pt idx="35">
                  <c:v>0.42500000000000004</c:v>
                </c:pt>
                <c:pt idx="36">
                  <c:v>0.2142857142857143</c:v>
                </c:pt>
                <c:pt idx="37">
                  <c:v>0.2142857142857143</c:v>
                </c:pt>
                <c:pt idx="38">
                  <c:v>0.2142857142857143</c:v>
                </c:pt>
                <c:pt idx="39">
                  <c:v>0.2142857142857143</c:v>
                </c:pt>
                <c:pt idx="40">
                  <c:v>0.2142857142857143</c:v>
                </c:pt>
                <c:pt idx="41">
                  <c:v>0.2142857142857143</c:v>
                </c:pt>
                <c:pt idx="42">
                  <c:v>0.2142857142857143</c:v>
                </c:pt>
                <c:pt idx="43">
                  <c:v>0.2142857142857143</c:v>
                </c:pt>
                <c:pt idx="44">
                  <c:v>0.6053571428571428</c:v>
                </c:pt>
                <c:pt idx="46">
                  <c:v>0.2142857142857143</c:v>
                </c:pt>
                <c:pt idx="47">
                  <c:v>0.2142857142857143</c:v>
                </c:pt>
                <c:pt idx="48">
                  <c:v>0.2142857142857143</c:v>
                </c:pt>
                <c:pt idx="50">
                  <c:v>0.2142857142857143</c:v>
                </c:pt>
                <c:pt idx="51">
                  <c:v>0.2142857142857143</c:v>
                </c:pt>
                <c:pt idx="52">
                  <c:v>0.2142857142857143</c:v>
                </c:pt>
                <c:pt idx="53">
                  <c:v>0.7907142857142858</c:v>
                </c:pt>
                <c:pt idx="54">
                  <c:v>0.6860714285714286</c:v>
                </c:pt>
                <c:pt idx="55">
                  <c:v>1.0442857142857143</c:v>
                </c:pt>
                <c:pt idx="56">
                  <c:v>0.2142857142857143</c:v>
                </c:pt>
                <c:pt idx="57">
                  <c:v>0.2142857142857143</c:v>
                </c:pt>
                <c:pt idx="58">
                  <c:v>0.2142857142857143</c:v>
                </c:pt>
                <c:pt idx="59">
                  <c:v>0.2142857142857143</c:v>
                </c:pt>
                <c:pt idx="61">
                  <c:v>0.2142857142857143</c:v>
                </c:pt>
                <c:pt idx="62">
                  <c:v>0.2142857142857143</c:v>
                </c:pt>
                <c:pt idx="63">
                  <c:v>0.2142857142857143</c:v>
                </c:pt>
                <c:pt idx="64">
                  <c:v>0.2142857142857143</c:v>
                </c:pt>
                <c:pt idx="65">
                  <c:v>0.2142857142857143</c:v>
                </c:pt>
                <c:pt idx="66">
                  <c:v>0.2142857142857143</c:v>
                </c:pt>
                <c:pt idx="67">
                  <c:v>0.2142857142857143</c:v>
                </c:pt>
                <c:pt idx="68">
                  <c:v>0.2142857142857143</c:v>
                </c:pt>
                <c:pt idx="69">
                  <c:v>0.2142857142857143</c:v>
                </c:pt>
                <c:pt idx="70">
                  <c:v>0.2142857142857143</c:v>
                </c:pt>
                <c:pt idx="71">
                  <c:v>0.2142857142857143</c:v>
                </c:pt>
                <c:pt idx="75">
                  <c:v>0.2142857142857143</c:v>
                </c:pt>
                <c:pt idx="77">
                  <c:v>0.2142857142857143</c:v>
                </c:pt>
                <c:pt idx="78">
                  <c:v>1.1046428571428573</c:v>
                </c:pt>
                <c:pt idx="79">
                  <c:v>1.1064285714285713</c:v>
                </c:pt>
                <c:pt idx="80">
                  <c:v>1.3571428571428572</c:v>
                </c:pt>
                <c:pt idx="81">
                  <c:v>0.2142857142857143</c:v>
                </c:pt>
                <c:pt idx="82">
                  <c:v>0.2142857142857143</c:v>
                </c:pt>
                <c:pt idx="83">
                  <c:v>0.2142857142857143</c:v>
                </c:pt>
                <c:pt idx="84">
                  <c:v>0.2142857142857143</c:v>
                </c:pt>
                <c:pt idx="90">
                  <c:v>0.2142857142857143</c:v>
                </c:pt>
              </c:numCache>
            </c:numRef>
          </c:val>
          <c:smooth val="0"/>
        </c:ser>
        <c:marker val="1"/>
        <c:axId val="23436323"/>
        <c:axId val="9600316"/>
      </c:lineChart>
      <c:dateAx>
        <c:axId val="23436323"/>
        <c:scaling>
          <c:orientation val="minMax"/>
          <c:max val="40909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The James Hutton Institute 2011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960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µeql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38100</xdr:rowOff>
    </xdr:from>
    <xdr:to>
      <xdr:col>14</xdr:col>
      <xdr:colOff>304800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943225" y="19812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harcaidh%20Montane%20Project(302372)\Mharcaidh%20Montane%20Water%20Chemis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th October'04"/>
      <sheetName val="16th November'04"/>
      <sheetName val="14th December'04"/>
      <sheetName val="25th January'05"/>
      <sheetName val="8th Feb'05"/>
      <sheetName val="8th March'05"/>
      <sheetName val="22nd March'05"/>
      <sheetName val="5th April'05"/>
      <sheetName val="19th April'05"/>
      <sheetName val="5th May'05"/>
      <sheetName val="17th May'05"/>
      <sheetName val="30th May'05"/>
      <sheetName val="27th June'05"/>
      <sheetName val="7th July'05"/>
      <sheetName val="26th July'05"/>
      <sheetName val="23rd Aug'05"/>
      <sheetName val="6th Sept'05"/>
      <sheetName val="20th Sept'05"/>
      <sheetName val="18th Oct'05"/>
      <sheetName val="1st Nov'05"/>
      <sheetName val="15th Nov'05"/>
      <sheetName val="13th Dec'05"/>
      <sheetName val="10th Jan'06"/>
      <sheetName val="7th Feb'06"/>
      <sheetName val="3rd April'06"/>
      <sheetName val="19th April'06"/>
      <sheetName val="4th May'06"/>
      <sheetName val="16th May'06"/>
      <sheetName val="30th May'06"/>
      <sheetName val="12th July'06"/>
      <sheetName val="5th Sept'06"/>
      <sheetName val="20th Sept'06"/>
      <sheetName val="31st Oct'06"/>
      <sheetName val="13th Feb'07"/>
      <sheetName val="27th Feb'07"/>
      <sheetName val="27th March'07"/>
      <sheetName val="10th April'07"/>
      <sheetName val="24th April'07"/>
      <sheetName val="22nd May'07"/>
      <sheetName val="19th June'07"/>
      <sheetName val="30th July'07"/>
      <sheetName val="4th Sept'07"/>
      <sheetName val="25th Sept'07"/>
      <sheetName val="9th Oct'07"/>
      <sheetName val="12th Dec'07"/>
      <sheetName val="19th Feb'08"/>
      <sheetName val="4th March'08"/>
      <sheetName val="18th March'08"/>
      <sheetName val="28th March'08"/>
      <sheetName val="15th April'08"/>
      <sheetName val="7th May'08"/>
      <sheetName val="2nd June'08"/>
      <sheetName val="8th July'08"/>
      <sheetName val="2nd Sept'08"/>
      <sheetName val="16th Sept'08"/>
      <sheetName val="30th Sept'08"/>
      <sheetName val="14thOct'08"/>
      <sheetName val="5thNov'08"/>
      <sheetName val="27thJan'09"/>
      <sheetName val="3rdMarch'09"/>
      <sheetName val="27th March'09"/>
      <sheetName val="7th April'09"/>
      <sheetName val="22ndApril'09"/>
      <sheetName val="5thMay'09"/>
      <sheetName val="19thMay'09 to 11thNov'09"/>
      <sheetName val="17th Feb to 14thDec'10"/>
      <sheetName val="12thJan'11 to 29thMar'11"/>
      <sheetName val="RG2&amp;5&amp;FG2&amp;5andSnowsummary"/>
      <sheetName val="Organic summary data"/>
      <sheetName val="Mineral summary data"/>
      <sheetName val="Org&amp;Mineral meaned data &amp;charts"/>
      <sheetName val="Detection Limits"/>
      <sheetName val="Spring(Allt Geal-Charn)"/>
      <sheetName val="comparison of Total N"/>
      <sheetName val="Codes"/>
      <sheetName val="25th Jan comparison pH's"/>
      <sheetName val="Sheet1"/>
      <sheetName val="setup"/>
      <sheetName val="RG&amp;FG2&amp;5and Snowsummary"/>
    </sheetNames>
    <sheetDataSet>
      <sheetData sheetId="77">
        <row r="13">
          <cell r="B13">
            <v>0.0006</v>
          </cell>
        </row>
        <row r="14">
          <cell r="B14">
            <v>0.05721715256108241</v>
          </cell>
        </row>
        <row r="15">
          <cell r="B15">
            <v>3.453952113153364E-07</v>
          </cell>
        </row>
        <row r="19">
          <cell r="D19">
            <v>100000000</v>
          </cell>
        </row>
        <row r="20">
          <cell r="D20">
            <v>3.2257691829276077E-06</v>
          </cell>
        </row>
        <row r="21">
          <cell r="D21">
            <v>8.772099694434585E-12</v>
          </cell>
        </row>
        <row r="22">
          <cell r="D22">
            <v>830.6478373615398</v>
          </cell>
        </row>
        <row r="26">
          <cell r="C26">
            <v>0.0009120108393559087</v>
          </cell>
        </row>
        <row r="27">
          <cell r="C27">
            <v>3.090295432513586E-05</v>
          </cell>
        </row>
        <row r="28">
          <cell r="C28">
            <v>3.467368504525315E-07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1"/>
  <sheetViews>
    <sheetView zoomScalePageLayoutView="0" workbookViewId="0" topLeftCell="G1">
      <pane ySplit="1695" topLeftCell="A1" activePane="bottomLeft" state="split"/>
      <selection pane="topLeft" activeCell="G3" sqref="G3"/>
      <selection pane="bottomLeft" activeCell="G3" sqref="G3"/>
    </sheetView>
  </sheetViews>
  <sheetFormatPr defaultColWidth="9.140625" defaultRowHeight="12.75"/>
  <cols>
    <col min="1" max="1" width="10.57421875" style="0" customWidth="1"/>
    <col min="2" max="2" width="17.28125" style="0" customWidth="1"/>
    <col min="3" max="3" width="9.57421875" style="0" bestFit="1" customWidth="1"/>
    <col min="24" max="24" width="9.140625" style="99" customWidth="1"/>
    <col min="26" max="26" width="15.140625" style="0" bestFit="1" customWidth="1"/>
    <col min="27" max="27" width="11.57421875" style="0" customWidth="1"/>
    <col min="29" max="29" width="17.57421875" style="2" bestFit="1" customWidth="1"/>
    <col min="49" max="49" width="15.140625" style="0" bestFit="1" customWidth="1"/>
    <col min="50" max="50" width="11.00390625" style="0" bestFit="1" customWidth="1"/>
    <col min="51" max="51" width="17.57421875" style="0" bestFit="1" customWidth="1"/>
    <col min="52" max="52" width="21.140625" style="0" bestFit="1" customWidth="1"/>
    <col min="53" max="53" width="11.7109375" style="0" bestFit="1" customWidth="1"/>
    <col min="69" max="69" width="12.8515625" style="0" bestFit="1" customWidth="1"/>
    <col min="70" max="70" width="12.28125" style="0" bestFit="1" customWidth="1"/>
  </cols>
  <sheetData>
    <row r="1" spans="1:29" ht="15.75">
      <c r="A1" s="1" t="s">
        <v>0</v>
      </c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7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51"/>
      <c r="Y1" s="4"/>
      <c r="Z1" s="4"/>
      <c r="AA1" s="4"/>
      <c r="AB1" s="4"/>
      <c r="AC1" s="30"/>
    </row>
    <row r="2" spans="1:67" ht="15">
      <c r="A2" s="28" t="s">
        <v>38</v>
      </c>
      <c r="B2" s="2"/>
      <c r="C2" s="3"/>
      <c r="D2" s="3"/>
      <c r="F2" s="5"/>
      <c r="G2" s="4"/>
      <c r="H2" s="5"/>
      <c r="I2" s="5"/>
      <c r="J2" s="8"/>
      <c r="K2" s="4"/>
      <c r="L2" s="6"/>
      <c r="M2" s="9" t="s">
        <v>2</v>
      </c>
      <c r="N2" s="4"/>
      <c r="O2" s="4"/>
      <c r="P2" s="4"/>
      <c r="Q2" s="4"/>
      <c r="R2" s="4"/>
      <c r="S2" s="4"/>
      <c r="T2" s="4"/>
      <c r="U2" s="4"/>
      <c r="V2" s="4"/>
      <c r="W2" s="4"/>
      <c r="X2" s="51"/>
      <c r="Y2" s="4"/>
      <c r="Z2" s="4"/>
      <c r="AA2" s="4"/>
      <c r="AB2" s="4"/>
      <c r="BC2" s="36"/>
      <c r="BD2" s="37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9"/>
    </row>
    <row r="3" spans="2:67" ht="12.75">
      <c r="B3" s="10"/>
      <c r="C3" s="11"/>
      <c r="D3" s="12"/>
      <c r="E3" s="13"/>
      <c r="F3" s="13"/>
      <c r="G3" s="14"/>
      <c r="H3" s="13"/>
      <c r="I3" s="15"/>
      <c r="J3" s="15"/>
      <c r="K3" s="15"/>
      <c r="L3" s="13"/>
      <c r="M3" s="13"/>
      <c r="N3" s="13"/>
      <c r="O3" s="13"/>
      <c r="P3" s="15"/>
      <c r="Q3" s="15"/>
      <c r="R3" s="15"/>
      <c r="S3" s="15"/>
      <c r="T3" s="15"/>
      <c r="U3" s="13"/>
      <c r="V3" s="13"/>
      <c r="W3" s="13"/>
      <c r="X3" s="102"/>
      <c r="Y3" s="15"/>
      <c r="Z3" s="15"/>
      <c r="AA3" s="13"/>
      <c r="AB3" s="13"/>
      <c r="AC3" s="31"/>
      <c r="BC3" s="4"/>
      <c r="BD3" s="4"/>
      <c r="BE3" s="32" t="s">
        <v>48</v>
      </c>
      <c r="BF3" s="40" t="s">
        <v>49</v>
      </c>
      <c r="BG3" s="41"/>
      <c r="BH3" s="42"/>
      <c r="BI3" s="43"/>
      <c r="BJ3" s="43"/>
      <c r="BK3" s="32" t="s">
        <v>48</v>
      </c>
      <c r="BL3" s="44"/>
      <c r="BM3" s="45" t="s">
        <v>49</v>
      </c>
      <c r="BN3" s="45"/>
      <c r="BO3" s="39" t="s">
        <v>50</v>
      </c>
    </row>
    <row r="4" spans="1:73" ht="15.75">
      <c r="A4" s="16" t="s">
        <v>3</v>
      </c>
      <c r="B4" s="16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8" t="s">
        <v>20</v>
      </c>
      <c r="S4" s="18" t="s">
        <v>21</v>
      </c>
      <c r="T4" s="16" t="s">
        <v>22</v>
      </c>
      <c r="U4" s="18" t="s">
        <v>23</v>
      </c>
      <c r="V4" s="16" t="s">
        <v>24</v>
      </c>
      <c r="W4" s="18" t="s">
        <v>25</v>
      </c>
      <c r="X4" s="103" t="s">
        <v>26</v>
      </c>
      <c r="Y4" s="20" t="s">
        <v>27</v>
      </c>
      <c r="Z4" s="21" t="s">
        <v>28</v>
      </c>
      <c r="AA4" s="32" t="s">
        <v>29</v>
      </c>
      <c r="AB4" s="22"/>
      <c r="AC4" s="21" t="s">
        <v>30</v>
      </c>
      <c r="AD4" s="59" t="s">
        <v>62</v>
      </c>
      <c r="AE4" s="16" t="s">
        <v>7</v>
      </c>
      <c r="AF4" s="16" t="s">
        <v>8</v>
      </c>
      <c r="AG4" s="16" t="s">
        <v>9</v>
      </c>
      <c r="AH4" s="16" t="s">
        <v>10</v>
      </c>
      <c r="AI4" s="33" t="s">
        <v>39</v>
      </c>
      <c r="AJ4" s="33" t="s">
        <v>40</v>
      </c>
      <c r="AK4" s="33" t="s">
        <v>41</v>
      </c>
      <c r="AL4" s="33" t="s">
        <v>14</v>
      </c>
      <c r="AM4" s="33" t="s">
        <v>15</v>
      </c>
      <c r="AN4" s="33" t="s">
        <v>16</v>
      </c>
      <c r="AO4" s="33" t="s">
        <v>17</v>
      </c>
      <c r="AP4" s="33" t="s">
        <v>42</v>
      </c>
      <c r="AQ4" s="33" t="s">
        <v>19</v>
      </c>
      <c r="AR4" s="18" t="s">
        <v>43</v>
      </c>
      <c r="AS4" s="16" t="s">
        <v>23</v>
      </c>
      <c r="AT4" s="16" t="s">
        <v>24</v>
      </c>
      <c r="AU4" s="16" t="s">
        <v>25</v>
      </c>
      <c r="AV4" s="16" t="s">
        <v>26</v>
      </c>
      <c r="AW4" s="19" t="s">
        <v>28</v>
      </c>
      <c r="AX4" s="19" t="s">
        <v>29</v>
      </c>
      <c r="AY4" s="21" t="s">
        <v>30</v>
      </c>
      <c r="AZ4" s="21" t="s">
        <v>44</v>
      </c>
      <c r="BA4" s="16" t="s">
        <v>45</v>
      </c>
      <c r="BC4" s="18" t="s">
        <v>51</v>
      </c>
      <c r="BD4" s="18" t="s">
        <v>52</v>
      </c>
      <c r="BE4" s="18" t="s">
        <v>53</v>
      </c>
      <c r="BF4" s="18" t="s">
        <v>54</v>
      </c>
      <c r="BG4" s="32" t="s">
        <v>55</v>
      </c>
      <c r="BH4" s="32" t="s">
        <v>56</v>
      </c>
      <c r="BI4" s="46" t="s">
        <v>57</v>
      </c>
      <c r="BJ4" s="46" t="s">
        <v>58</v>
      </c>
      <c r="BK4" s="32" t="s">
        <v>53</v>
      </c>
      <c r="BL4" s="44"/>
      <c r="BM4" s="47" t="s">
        <v>59</v>
      </c>
      <c r="BN4" s="47" t="s">
        <v>60</v>
      </c>
      <c r="BO4" s="39" t="s">
        <v>61</v>
      </c>
      <c r="BQ4" s="108" t="s">
        <v>64</v>
      </c>
      <c r="BR4" s="108" t="s">
        <v>65</v>
      </c>
      <c r="BS4" s="109" t="s">
        <v>66</v>
      </c>
      <c r="BT4" s="110" t="s">
        <v>67</v>
      </c>
      <c r="BU4" s="110" t="s">
        <v>68</v>
      </c>
    </row>
    <row r="5" spans="1:73" ht="14.25">
      <c r="A5" s="16"/>
      <c r="B5" s="16"/>
      <c r="C5" s="17"/>
      <c r="D5" s="17" t="s">
        <v>31</v>
      </c>
      <c r="E5" s="18" t="s">
        <v>32</v>
      </c>
      <c r="F5" s="18" t="s">
        <v>32</v>
      </c>
      <c r="G5" s="18" t="s">
        <v>33</v>
      </c>
      <c r="H5" s="18" t="s">
        <v>33</v>
      </c>
      <c r="I5" s="18" t="s">
        <v>33</v>
      </c>
      <c r="J5" s="18" t="s">
        <v>33</v>
      </c>
      <c r="K5" s="18" t="s">
        <v>33</v>
      </c>
      <c r="L5" s="18" t="s">
        <v>33</v>
      </c>
      <c r="M5" s="18" t="s">
        <v>33</v>
      </c>
      <c r="N5" s="18" t="s">
        <v>33</v>
      </c>
      <c r="O5" s="18" t="s">
        <v>33</v>
      </c>
      <c r="P5" s="18" t="s">
        <v>33</v>
      </c>
      <c r="Q5" s="18" t="s">
        <v>33</v>
      </c>
      <c r="R5" s="18"/>
      <c r="S5" s="23" t="s">
        <v>34</v>
      </c>
      <c r="T5" s="18" t="s">
        <v>35</v>
      </c>
      <c r="U5" s="18" t="s">
        <v>33</v>
      </c>
      <c r="V5" s="18" t="s">
        <v>33</v>
      </c>
      <c r="W5" s="18" t="s">
        <v>33</v>
      </c>
      <c r="X5" s="103" t="s">
        <v>33</v>
      </c>
      <c r="Y5" s="18" t="s">
        <v>33</v>
      </c>
      <c r="Z5" s="18" t="s">
        <v>33</v>
      </c>
      <c r="AA5" s="33" t="s">
        <v>33</v>
      </c>
      <c r="AB5" s="24"/>
      <c r="AC5" s="16" t="s">
        <v>33</v>
      </c>
      <c r="AE5" s="16" t="s">
        <v>46</v>
      </c>
      <c r="AF5" s="16" t="s">
        <v>46</v>
      </c>
      <c r="AG5" s="16" t="s">
        <v>47</v>
      </c>
      <c r="AH5" s="16" t="s">
        <v>47</v>
      </c>
      <c r="AI5" s="16" t="s">
        <v>47</v>
      </c>
      <c r="AJ5" s="16" t="s">
        <v>47</v>
      </c>
      <c r="AK5" s="16" t="s">
        <v>47</v>
      </c>
      <c r="AL5" s="16" t="s">
        <v>47</v>
      </c>
      <c r="AM5" s="16" t="s">
        <v>47</v>
      </c>
      <c r="AN5" s="16" t="s">
        <v>47</v>
      </c>
      <c r="AO5" s="16" t="s">
        <v>47</v>
      </c>
      <c r="AP5" s="16" t="s">
        <v>47</v>
      </c>
      <c r="AQ5" s="16" t="s">
        <v>47</v>
      </c>
      <c r="AR5" s="16" t="s">
        <v>47</v>
      </c>
      <c r="AS5" s="16" t="s">
        <v>47</v>
      </c>
      <c r="AT5" s="16" t="s">
        <v>47</v>
      </c>
      <c r="AU5" s="16" t="s">
        <v>47</v>
      </c>
      <c r="AV5" s="16" t="s">
        <v>47</v>
      </c>
      <c r="AW5" s="16" t="s">
        <v>47</v>
      </c>
      <c r="AX5" s="16" t="s">
        <v>47</v>
      </c>
      <c r="AY5" s="16" t="s">
        <v>47</v>
      </c>
      <c r="AZ5" s="16" t="s">
        <v>47</v>
      </c>
      <c r="BA5" s="16"/>
      <c r="BQ5" s="71"/>
      <c r="BR5" s="71"/>
      <c r="BS5" s="71"/>
      <c r="BT5" s="71"/>
      <c r="BU5" s="71"/>
    </row>
    <row r="6" spans="1:73" ht="12.75">
      <c r="A6" s="25" t="s">
        <v>36</v>
      </c>
      <c r="B6" s="26"/>
      <c r="E6" s="27">
        <v>0.006</v>
      </c>
      <c r="F6" s="27">
        <v>0.002</v>
      </c>
      <c r="G6" s="27">
        <v>0.02</v>
      </c>
      <c r="H6" s="27">
        <v>0.03</v>
      </c>
      <c r="I6" s="27">
        <v>0.01</v>
      </c>
      <c r="J6" s="27">
        <v>0.025</v>
      </c>
      <c r="K6" s="27">
        <v>0.005</v>
      </c>
      <c r="L6" s="27">
        <v>0.1</v>
      </c>
      <c r="M6" s="27">
        <v>0.01</v>
      </c>
      <c r="N6" s="27">
        <v>0.03</v>
      </c>
      <c r="O6" s="27">
        <v>0.01</v>
      </c>
      <c r="P6" s="27">
        <v>0.05</v>
      </c>
      <c r="Q6" s="27">
        <v>0.4</v>
      </c>
      <c r="R6" s="27"/>
      <c r="S6" s="27"/>
      <c r="T6" s="27"/>
      <c r="U6" s="27">
        <v>0.05</v>
      </c>
      <c r="V6" s="27">
        <v>0.07</v>
      </c>
      <c r="W6" s="27">
        <v>0.002</v>
      </c>
      <c r="X6" s="104">
        <v>0.002</v>
      </c>
      <c r="Y6" s="27">
        <v>0.5</v>
      </c>
      <c r="Z6" s="27">
        <v>0.01</v>
      </c>
      <c r="BQ6" s="22"/>
      <c r="BR6" s="22"/>
      <c r="BS6" s="22"/>
      <c r="BT6" s="22"/>
      <c r="BU6" s="22"/>
    </row>
    <row r="7" ht="12.75"/>
    <row r="8" spans="1:73" ht="12.75">
      <c r="A8" s="29">
        <v>38278</v>
      </c>
      <c r="B8" t="s">
        <v>37</v>
      </c>
      <c r="C8">
        <v>809932</v>
      </c>
      <c r="E8" s="61">
        <v>0.006</v>
      </c>
      <c r="F8" s="61">
        <v>0.002</v>
      </c>
      <c r="G8" s="61">
        <v>0.0321</v>
      </c>
      <c r="H8" s="61">
        <v>2.868</v>
      </c>
      <c r="I8" s="61">
        <v>0.021</v>
      </c>
      <c r="J8" s="61">
        <v>0.072</v>
      </c>
      <c r="K8" s="61">
        <v>0.008</v>
      </c>
      <c r="L8" s="61">
        <v>0.1098</v>
      </c>
      <c r="M8" s="61">
        <v>0.4432</v>
      </c>
      <c r="N8" s="61">
        <v>0.2938</v>
      </c>
      <c r="O8" s="61">
        <v>2.746</v>
      </c>
      <c r="P8" s="61">
        <v>0.691</v>
      </c>
      <c r="Q8" s="61">
        <v>2.578</v>
      </c>
      <c r="R8" s="61">
        <v>5.94</v>
      </c>
      <c r="S8" s="61">
        <v>18.2</v>
      </c>
      <c r="T8" s="61">
        <v>21.867</v>
      </c>
      <c r="U8" s="61">
        <v>0.05</v>
      </c>
      <c r="V8" s="61">
        <v>0.67</v>
      </c>
      <c r="W8" s="61">
        <v>0.002</v>
      </c>
      <c r="X8" s="101">
        <v>0.002</v>
      </c>
      <c r="Y8" s="61">
        <v>1.8</v>
      </c>
      <c r="Z8" s="61">
        <v>0.11</v>
      </c>
      <c r="AA8" s="61">
        <v>0.017</v>
      </c>
      <c r="AB8" s="61"/>
      <c r="AC8" s="61"/>
      <c r="AE8" s="112">
        <f>$E8/56*2*1000</f>
        <v>0.2142857142857143</v>
      </c>
      <c r="AF8" s="112">
        <f>$F8/55*2*1000</f>
        <v>0.07272727272727272</v>
      </c>
      <c r="AG8" s="112">
        <f>$G8/27*3*1000</f>
        <v>3.566666666666667</v>
      </c>
      <c r="AH8" s="112">
        <f>$H8/28*4*1000</f>
        <v>409.7142857142857</v>
      </c>
      <c r="AI8" s="112">
        <f>$I8/14*1*1000</f>
        <v>1.5</v>
      </c>
      <c r="AJ8" s="112">
        <f>$J8/14*1*1000</f>
        <v>5.142857142857142</v>
      </c>
      <c r="AK8" s="112">
        <f>$K8/31*3*1000</f>
        <v>0.7741935483870969</v>
      </c>
      <c r="AL8" s="112">
        <f>$L8/39*1*1000</f>
        <v>2.8153846153846156</v>
      </c>
      <c r="AM8" s="112">
        <f>$M8/40*2*1000</f>
        <v>22.16</v>
      </c>
      <c r="AN8" s="112">
        <f>$N8/24*2*1000</f>
        <v>24.483333333333334</v>
      </c>
      <c r="AO8" s="112">
        <f>$O8/23*1*1000</f>
        <v>119.3913043478261</v>
      </c>
      <c r="AP8" s="112">
        <f>$P8/32*2*1000</f>
        <v>43.1875</v>
      </c>
      <c r="AQ8" s="112">
        <f>$Q8/35*1*1000</f>
        <v>73.65714285714286</v>
      </c>
      <c r="AR8" s="103">
        <f>SUM(10^(6-R8))</f>
        <v>1.1481536214968817</v>
      </c>
      <c r="AS8" s="112">
        <f>$U8/31*3*1000</f>
        <v>4.838709677419355</v>
      </c>
      <c r="AT8" s="112">
        <f>$V8/32*2*1000</f>
        <v>41.875</v>
      </c>
      <c r="AU8" s="112">
        <f>$W8/63*2*1000</f>
        <v>0.06349206349206349</v>
      </c>
      <c r="AV8" s="112">
        <f>$X8/65*2*1000</f>
        <v>0.061538461538461535</v>
      </c>
      <c r="AW8" s="103">
        <f>$Z8/14*1*1000</f>
        <v>7.857142857142858</v>
      </c>
      <c r="AX8" s="103">
        <f>AW8-(AI8+AJ8)</f>
        <v>1.2142857142857153</v>
      </c>
      <c r="AY8" s="97"/>
      <c r="AZ8" s="103">
        <f>AI8+AJ8</f>
        <v>6.642857142857142</v>
      </c>
      <c r="BA8" s="113"/>
      <c r="BB8" s="113"/>
      <c r="BC8" s="112">
        <f>AL8+AM8+AN8+AO8+AI8</f>
        <v>170.35002229654404</v>
      </c>
      <c r="BD8" s="112">
        <f>AJ8+AP8+AQ8</f>
        <v>121.9875</v>
      </c>
      <c r="BE8" s="96">
        <f>ABS(BC8-BD8)/(BC8+BD8)*100</f>
        <v>16.543385165413568</v>
      </c>
      <c r="BF8" s="114">
        <f>(('[1]setup'!$B$13*'[1]setup'!$B$14*'[1]setup'!$B$15)/10^(-R8))*10^6</f>
        <v>10.327466706379546</v>
      </c>
      <c r="BG8" s="115">
        <f>((10^-(0.96+0.9*R8-0.039*R8^2))*Y8*10)/((10^-(0.96+0.9*R8-0.039*R8^2))+10^(-R8))</f>
        <v>16.397771574870678</v>
      </c>
      <c r="BH8" s="114">
        <f>(AM8+AN8+AO8+AL8+AI8)-(AP8+AQ8+AJ8)</f>
        <v>48.36252229654404</v>
      </c>
      <c r="BI8" s="114">
        <f>(AM8+AN8+AO8+AL8+AI8)+((10^-R8)*10^6)</f>
        <v>171.49817591804091</v>
      </c>
      <c r="BJ8" s="114">
        <f>(AP8+AQ8+AJ8+BG8+BF8)</f>
        <v>148.7127382812502</v>
      </c>
      <c r="BK8" s="18">
        <f>ABS(BI8-BJ8)/(BI8+BJ8)*100</f>
        <v>7.11575921569295</v>
      </c>
      <c r="BL8" s="96"/>
      <c r="BM8" s="112">
        <f>(3*('[1]setup'!$D$19*(10^-R8)^3)+2*('[1]setup'!$D$20*'[1]setup'!$D$19*((10^-R8)^2))+('[1]setup'!$D$21*'[1]setup'!$D$19*10^-R8)+('[1]setup'!$D$19*'[1]setup'!$D$22*(AP8/(10^6*2))*(10^-R8)^3))*10^6</f>
        <v>0.0023144334150480704</v>
      </c>
      <c r="BN8" s="103">
        <f>(AM8+AN8+AO8+AL8+AI8+(10^-R8)*10^6+BM8)-(AP8+AQ8+AJ8+BF8)</f>
        <v>39.185523645076415</v>
      </c>
      <c r="BO8" s="114">
        <f>(BN8/((('[1]setup'!$C$26)/10^-R8)+2*(('[1]setup'!$C$26*'[1]setup'!$C$27)/(10^-R8^2))+3*(('[1]setup'!$C$26*'[1]setup'!$C$27*'[1]setup'!$C$28)/(10^-R8^3))))/(10^-R8^3/(10^-R8^3+'[1]setup'!$C$26*10^-R8^2+'[1]setup'!$C$26*'[1]setup'!$C$27*10^-R8+'[1]setup'!$C$26*'[1]setup'!$C$27*'[1]setup'!$C$28))</f>
        <v>17.830308048296214</v>
      </c>
      <c r="BP8" s="113"/>
      <c r="BQ8" s="111">
        <f>AI8+AL8+AM8+AN8+AO8</f>
        <v>170.35002229654404</v>
      </c>
      <c r="BR8" s="111">
        <f>AJ8+AP8+AQ8</f>
        <v>121.9875</v>
      </c>
      <c r="BS8" s="111">
        <f>BQ8/BR8</f>
        <v>1.396454737547241</v>
      </c>
      <c r="BT8" s="111">
        <f>(AL8+AM8+AN8+AO8)-(AJ8+AP8+AQ8)</f>
        <v>46.86252229654404</v>
      </c>
      <c r="BU8" s="111">
        <f>AO8/AQ8</f>
        <v>1.620905993861099</v>
      </c>
    </row>
    <row r="9" spans="1:73" ht="12.75">
      <c r="A9" s="29">
        <v>38307</v>
      </c>
      <c r="B9" t="s">
        <v>37</v>
      </c>
      <c r="C9">
        <v>812163</v>
      </c>
      <c r="E9" s="61">
        <v>0.006</v>
      </c>
      <c r="F9" s="61">
        <v>0.002</v>
      </c>
      <c r="G9" s="61">
        <v>0.0616</v>
      </c>
      <c r="H9" s="61">
        <v>2.878</v>
      </c>
      <c r="I9" s="61">
        <v>0.0241</v>
      </c>
      <c r="J9" s="61">
        <v>0.06149</v>
      </c>
      <c r="K9" s="61">
        <v>0.005</v>
      </c>
      <c r="L9" s="61">
        <v>0.1555</v>
      </c>
      <c r="M9" s="61">
        <v>0.5038</v>
      </c>
      <c r="N9" s="61">
        <v>0.316</v>
      </c>
      <c r="O9" s="61">
        <v>2.797</v>
      </c>
      <c r="P9" s="61">
        <v>0.677</v>
      </c>
      <c r="Q9" s="61">
        <v>2.575</v>
      </c>
      <c r="R9" s="61">
        <v>6.13</v>
      </c>
      <c r="S9" s="61">
        <v>17.4</v>
      </c>
      <c r="T9" s="61">
        <v>22.335</v>
      </c>
      <c r="U9" s="61">
        <v>0.05</v>
      </c>
      <c r="V9" s="61">
        <v>0.7339</v>
      </c>
      <c r="W9" s="61">
        <v>0.0028</v>
      </c>
      <c r="X9" s="101">
        <v>0.002</v>
      </c>
      <c r="Y9" s="61">
        <v>1.611</v>
      </c>
      <c r="Z9" s="61">
        <v>0.1002</v>
      </c>
      <c r="AA9" s="61">
        <v>0.014609999999999998</v>
      </c>
      <c r="AB9" s="61"/>
      <c r="AC9" s="61"/>
      <c r="AE9" s="112">
        <f>$E9/56*2*1000</f>
        <v>0.2142857142857143</v>
      </c>
      <c r="AF9" s="112">
        <f>$F9/55*2*1000</f>
        <v>0.07272727272727272</v>
      </c>
      <c r="AG9" s="112">
        <f>$G9/27*3*1000</f>
        <v>6.844444444444445</v>
      </c>
      <c r="AH9" s="112">
        <f>$H9/28*4*1000</f>
        <v>411.14285714285717</v>
      </c>
      <c r="AI9" s="112">
        <f>$I9/14*1*1000</f>
        <v>1.7214285714285715</v>
      </c>
      <c r="AJ9" s="112">
        <f>$J9/14*1*1000</f>
        <v>4.392142857142858</v>
      </c>
      <c r="AK9" s="112">
        <f>$K9/31*3*1000</f>
        <v>0.4838709677419355</v>
      </c>
      <c r="AL9" s="112">
        <f>$L9/39*1*1000</f>
        <v>3.9871794871794872</v>
      </c>
      <c r="AM9" s="112">
        <f>$M9/40*2*1000</f>
        <v>25.19</v>
      </c>
      <c r="AN9" s="112">
        <f>$N9/24*2*1000</f>
        <v>26.333333333333332</v>
      </c>
      <c r="AO9" s="112">
        <f>$O9/23*1*1000</f>
        <v>121.60869565217392</v>
      </c>
      <c r="AP9" s="112">
        <f>$P9/32*2*1000</f>
        <v>42.3125</v>
      </c>
      <c r="AQ9" s="112">
        <f>$Q9/35*1*1000</f>
        <v>73.57142857142858</v>
      </c>
      <c r="AR9" s="103">
        <f>SUM(10^(6-R9))</f>
        <v>0.7413102413009177</v>
      </c>
      <c r="AS9" s="112">
        <f>$U9/31*3*1000</f>
        <v>4.838709677419355</v>
      </c>
      <c r="AT9" s="112">
        <f>$V9/32*2*1000</f>
        <v>45.86875</v>
      </c>
      <c r="AU9" s="112">
        <f>$W9/63*2*1000</f>
        <v>0.08888888888888889</v>
      </c>
      <c r="AV9" s="112">
        <f>$X9/65*2*1000</f>
        <v>0.061538461538461535</v>
      </c>
      <c r="AW9" s="103">
        <f>$Z9/14*1*1000</f>
        <v>7.157142857142857</v>
      </c>
      <c r="AX9" s="103">
        <f>AW9-(AI9+AJ9)</f>
        <v>1.0435714285714273</v>
      </c>
      <c r="AY9" s="97"/>
      <c r="AZ9" s="103">
        <f>AI9+AJ9</f>
        <v>6.113571428571429</v>
      </c>
      <c r="BA9" s="113"/>
      <c r="BB9" s="113"/>
      <c r="BC9" s="112">
        <f>AL9+AM9+AN9+AO9+AI9</f>
        <v>178.8406370441153</v>
      </c>
      <c r="BD9" s="112">
        <f>AJ9+AP9+AQ9</f>
        <v>120.27607142857144</v>
      </c>
      <c r="BE9" s="96">
        <f>ABS(BC9-BD9)/(BC9+BD9)*100</f>
        <v>19.579168918573327</v>
      </c>
      <c r="BF9" s="114">
        <f>(('[1]setup'!$B$13*'[1]setup'!$B$14*'[1]setup'!$B$15)/10^(-R9))*10^6</f>
        <v>15.99535206610599</v>
      </c>
      <c r="BG9" s="115">
        <f>((10^-(0.96+0.9*R9-0.039*R9^2))*Y9*10)/((10^-(0.96+0.9*R9-0.039*R9^2))+10^(-R9))</f>
        <v>14.970444222098035</v>
      </c>
      <c r="BH9" s="114">
        <f>(AM9+AN9+AO9+AL9+AI9)-(AP9+AQ9+AJ9)</f>
        <v>58.56456561554384</v>
      </c>
      <c r="BI9" s="114">
        <f>(AM9+AN9+AO9+AL9+AI9)+((10^-R9)*10^6)</f>
        <v>179.5819472854162</v>
      </c>
      <c r="BJ9" s="114">
        <f>(AP9+AQ9+AJ9+BG9+BF9)</f>
        <v>151.24186771677546</v>
      </c>
      <c r="BK9" s="18">
        <f>ABS(BI9-BJ9)/(BI9+BJ9)*100</f>
        <v>8.56651736769706</v>
      </c>
      <c r="BL9" s="96"/>
      <c r="BM9" s="112">
        <f>(3*('[1]setup'!$D$19*(10^-R9)^3)+2*('[1]setup'!$D$20*'[1]setup'!$D$19*((10^-R9)^2))+('[1]setup'!$D$21*'[1]setup'!$D$19*10^-R9)+('[1]setup'!$D$19*'[1]setup'!$D$22*(AP9/(10^6*2))*(10^-R9)^3))*10^6</f>
        <v>0.001127753125975563</v>
      </c>
      <c r="BN9" s="103">
        <f>(AM9+AN9+AO9+AL9+AI9+(10^-R9)*10^6+BM9)-(AP9+AQ9+AJ9+BF9)</f>
        <v>43.31165154386474</v>
      </c>
      <c r="BO9" s="114">
        <f>(BN9/((('[1]setup'!$C$26)/10^-R9)+2*(('[1]setup'!$C$26*'[1]setup'!$C$27)/(10^-R9^2))+3*(('[1]setup'!$C$26*'[1]setup'!$C$27*'[1]setup'!$C$28)/(10^-R9^3))))/(10^-R9^3/(10^-R9^3+'[1]setup'!$C$26*10^-R9^2+'[1]setup'!$C$26*'[1]setup'!$C$27*10^-R9+'[1]setup'!$C$26*'[1]setup'!$C$27*'[1]setup'!$C$28))</f>
        <v>18.852115263541037</v>
      </c>
      <c r="BP9" s="113"/>
      <c r="BQ9" s="111">
        <f aca="true" t="shared" si="0" ref="BQ9:BQ72">AI9+AL9+AM9+AN9+AO9</f>
        <v>178.8406370441153</v>
      </c>
      <c r="BR9" s="111">
        <f aca="true" t="shared" si="1" ref="BR9:BR72">AJ9+AP9+AQ9</f>
        <v>120.27607142857144</v>
      </c>
      <c r="BS9" s="111">
        <f aca="true" t="shared" si="2" ref="BS9:BS72">BQ9/BR9</f>
        <v>1.486917845918535</v>
      </c>
      <c r="BT9" s="111">
        <f aca="true" t="shared" si="3" ref="BT9:BT72">(AL9+AM9+AN9+AO9)-(AJ9+AP9+AQ9)</f>
        <v>56.84313704411531</v>
      </c>
      <c r="BU9" s="111">
        <f aca="true" t="shared" si="4" ref="BU9:BU72">AO9/AQ9</f>
        <v>1.6529337273111016</v>
      </c>
    </row>
    <row r="10" spans="1:73" ht="12.75">
      <c r="A10" s="29">
        <v>38335</v>
      </c>
      <c r="B10" t="s">
        <v>37</v>
      </c>
      <c r="C10">
        <v>815035</v>
      </c>
      <c r="E10" s="61">
        <v>0.006</v>
      </c>
      <c r="F10" s="61">
        <v>0.002</v>
      </c>
      <c r="G10" s="61">
        <v>0.02</v>
      </c>
      <c r="H10" s="61">
        <v>2.971</v>
      </c>
      <c r="I10" s="61">
        <v>0.039</v>
      </c>
      <c r="J10" s="61">
        <v>0.0858</v>
      </c>
      <c r="K10" s="61">
        <v>0.0161</v>
      </c>
      <c r="L10" s="61">
        <v>0.3547</v>
      </c>
      <c r="M10" s="61">
        <v>0.4797</v>
      </c>
      <c r="N10" s="61">
        <v>0.3448</v>
      </c>
      <c r="O10" s="61">
        <v>2.724</v>
      </c>
      <c r="P10" s="61">
        <v>0.7235</v>
      </c>
      <c r="Q10" s="61">
        <v>2.899</v>
      </c>
      <c r="R10" s="61">
        <v>6.42</v>
      </c>
      <c r="S10" s="61">
        <v>17</v>
      </c>
      <c r="T10" s="61">
        <v>23.992</v>
      </c>
      <c r="U10" s="61">
        <v>0.05</v>
      </c>
      <c r="V10" s="61">
        <v>0.7763</v>
      </c>
      <c r="W10" s="61">
        <v>0.002</v>
      </c>
      <c r="X10" s="101">
        <v>0.003</v>
      </c>
      <c r="Y10" s="61">
        <v>1.32</v>
      </c>
      <c r="Z10" s="61">
        <v>0.297</v>
      </c>
      <c r="AA10" s="61">
        <v>0.1722</v>
      </c>
      <c r="AB10" s="61"/>
      <c r="AC10" s="61">
        <v>0.2563</v>
      </c>
      <c r="AE10" s="112">
        <f>$E10/56*2*1000</f>
        <v>0.2142857142857143</v>
      </c>
      <c r="AF10" s="112">
        <f>$F10/55*2*1000</f>
        <v>0.07272727272727272</v>
      </c>
      <c r="AG10" s="112">
        <f>$G10/27*3*1000</f>
        <v>2.2222222222222223</v>
      </c>
      <c r="AH10" s="112">
        <f>$H10/28*4*1000</f>
        <v>424.42857142857144</v>
      </c>
      <c r="AI10" s="112">
        <f>$I10/14*1*1000</f>
        <v>2.785714285714286</v>
      </c>
      <c r="AJ10" s="112">
        <f>$J10/14*1*1000</f>
        <v>6.128571428571428</v>
      </c>
      <c r="AK10" s="112">
        <f>$K10/31*3*1000</f>
        <v>1.5580645161290323</v>
      </c>
      <c r="AL10" s="112">
        <f>$L10/39*1*1000</f>
        <v>9.094871794871796</v>
      </c>
      <c r="AM10" s="112">
        <f>$M10/40*2*1000</f>
        <v>23.985</v>
      </c>
      <c r="AN10" s="112">
        <f>$N10/24*2*1000</f>
        <v>28.733333333333334</v>
      </c>
      <c r="AO10" s="112">
        <f>$O10/23*1*1000</f>
        <v>118.43478260869567</v>
      </c>
      <c r="AP10" s="112">
        <f>$P10/32*2*1000</f>
        <v>45.21875</v>
      </c>
      <c r="AQ10" s="112">
        <f>$Q10/35*1*1000</f>
        <v>82.82857142857144</v>
      </c>
      <c r="AR10" s="103">
        <f>SUM(10^(6-R10))</f>
        <v>0.3801893963205612</v>
      </c>
      <c r="AS10" s="112">
        <f>$U10/31*3*1000</f>
        <v>4.838709677419355</v>
      </c>
      <c r="AT10" s="112">
        <f>$V10/32*2*1000</f>
        <v>48.51875</v>
      </c>
      <c r="AU10" s="112">
        <f>$W10/63*2*1000</f>
        <v>0.06349206349206349</v>
      </c>
      <c r="AV10" s="112">
        <f>$X10/65*2*1000</f>
        <v>0.09230769230769231</v>
      </c>
      <c r="AW10" s="103">
        <f>$Z10/14*1*1000</f>
        <v>21.21428571428571</v>
      </c>
      <c r="AX10" s="103">
        <f>AW10-(AI10+AJ10)</f>
        <v>12.299999999999997</v>
      </c>
      <c r="AY10" s="97">
        <f>$AC10/14*1*1000</f>
        <v>18.307142857142857</v>
      </c>
      <c r="AZ10" s="103">
        <f>AI10+AJ10</f>
        <v>8.914285714285715</v>
      </c>
      <c r="BA10" s="113"/>
      <c r="BB10" s="113"/>
      <c r="BC10" s="112">
        <f>AL10+AM10+AN10+AO10+AI10</f>
        <v>183.03370202261507</v>
      </c>
      <c r="BD10" s="112">
        <f>AJ10+AP10+AQ10</f>
        <v>134.17589285714286</v>
      </c>
      <c r="BE10" s="96">
        <f>ABS(BC10-BD10)/(BC10+BD10)*100</f>
        <v>15.402374314683753</v>
      </c>
      <c r="BF10" s="114">
        <f>(('[1]setup'!$B$13*'[1]setup'!$B$14*'[1]setup'!$B$15)/10^(-R10))*10^6</f>
        <v>31.188450847325424</v>
      </c>
      <c r="BG10" s="115">
        <f>((10^-(0.96+0.9*R10-0.039*R10^2))*Y10*10)/((10^-(0.96+0.9*R10-0.039*R10^2))+10^(-R10))</f>
        <v>12.555257887829331</v>
      </c>
      <c r="BH10" s="114">
        <f>(AM10+AN10+AO10+AL10+AI10)-(AP10+AQ10+AJ10)</f>
        <v>48.85780916547222</v>
      </c>
      <c r="BI10" s="114">
        <f>(AM10+AN10+AO10+AL10+AI10)+((10^-R10)*10^6)</f>
        <v>183.41389141893563</v>
      </c>
      <c r="BJ10" s="114">
        <f>(AP10+AQ10+AJ10+BG10+BF10)</f>
        <v>177.9196015922976</v>
      </c>
      <c r="BK10" s="18">
        <f>ABS(BI10-BJ10)/(BI10+BJ10)*100</f>
        <v>1.5205592431663206</v>
      </c>
      <c r="BL10" s="96"/>
      <c r="BM10" s="112">
        <f>(3*('[1]setup'!$D$19*(10^-R10)^3)+2*('[1]setup'!$D$20*'[1]setup'!$D$19*((10^-R10)^2))+('[1]setup'!$D$21*'[1]setup'!$D$19*10^-R10)+('[1]setup'!$D$19*'[1]setup'!$D$22*(AP10/(10^6*2))*(10^-R10)^3))*10^6</f>
        <v>0.0004433484624404243</v>
      </c>
      <c r="BN10" s="103">
        <f>(AM10+AN10+AO10+AL10+AI10+(10^-R10)*10^6+BM10)-(AP10+AQ10+AJ10+BF10)</f>
        <v>18.04999106292982</v>
      </c>
      <c r="BO10" s="114">
        <f>(BN10/((('[1]setup'!$C$26)/10^-R10)+2*(('[1]setup'!$C$26*'[1]setup'!$C$27)/(10^-R10^2))+3*(('[1]setup'!$C$26*'[1]setup'!$C$27*'[1]setup'!$C$28)/(10^-R10^3))))/(10^-R10^3/(10^-R10^3+'[1]setup'!$C$26*10^-R10^2+'[1]setup'!$C$26*'[1]setup'!$C$27*10^-R10+'[1]setup'!$C$26*'[1]setup'!$C$27*'[1]setup'!$C$28))</f>
        <v>7.314971043949161</v>
      </c>
      <c r="BP10" s="113"/>
      <c r="BQ10" s="111">
        <f t="shared" si="0"/>
        <v>183.0337020226151</v>
      </c>
      <c r="BR10" s="111">
        <f t="shared" si="1"/>
        <v>134.17589285714286</v>
      </c>
      <c r="BS10" s="111">
        <f t="shared" si="2"/>
        <v>1.364132543671546</v>
      </c>
      <c r="BT10" s="111">
        <f t="shared" si="3"/>
        <v>46.07209487975794</v>
      </c>
      <c r="BU10" s="111">
        <f t="shared" si="4"/>
        <v>1.4298783688528278</v>
      </c>
    </row>
    <row r="11" spans="1:73" ht="12.75">
      <c r="A11" s="29">
        <v>38377</v>
      </c>
      <c r="B11" t="s">
        <v>37</v>
      </c>
      <c r="C11">
        <v>816952</v>
      </c>
      <c r="E11" s="61">
        <v>0.006</v>
      </c>
      <c r="F11" s="61">
        <v>0.002</v>
      </c>
      <c r="G11" s="61">
        <v>0.02</v>
      </c>
      <c r="H11" s="61">
        <v>2.928</v>
      </c>
      <c r="I11" s="61">
        <v>0.01</v>
      </c>
      <c r="J11" s="61">
        <v>0.07098</v>
      </c>
      <c r="K11" s="61">
        <v>0.0163</v>
      </c>
      <c r="L11" s="61">
        <v>0.2292</v>
      </c>
      <c r="M11" s="61">
        <v>0.5241</v>
      </c>
      <c r="N11" s="61">
        <v>0.3613</v>
      </c>
      <c r="O11" s="61">
        <v>2.779</v>
      </c>
      <c r="P11" s="61">
        <v>0.7754</v>
      </c>
      <c r="Q11" s="61">
        <v>3.061</v>
      </c>
      <c r="R11" s="61">
        <v>6.51</v>
      </c>
      <c r="S11" s="61">
        <v>17.8</v>
      </c>
      <c r="T11" s="61">
        <v>23.531</v>
      </c>
      <c r="U11" s="61">
        <v>0.05</v>
      </c>
      <c r="V11" s="61">
        <v>0.7798</v>
      </c>
      <c r="W11" s="61">
        <v>0.002</v>
      </c>
      <c r="X11" s="101">
        <v>0.002</v>
      </c>
      <c r="Y11" s="61">
        <v>0.5</v>
      </c>
      <c r="Z11" s="61">
        <v>0.1382</v>
      </c>
      <c r="AA11" s="61">
        <v>0.05721999999999999</v>
      </c>
      <c r="AB11" s="61"/>
      <c r="AC11" s="61">
        <v>0.07127</v>
      </c>
      <c r="AE11" s="112">
        <f aca="true" t="shared" si="5" ref="AE11:AE74">$E11/56*2*1000</f>
        <v>0.2142857142857143</v>
      </c>
      <c r="AF11" s="112">
        <f aca="true" t="shared" si="6" ref="AF11:AF74">$F11/55*2*1000</f>
        <v>0.07272727272727272</v>
      </c>
      <c r="AG11" s="112">
        <f aca="true" t="shared" si="7" ref="AG11:AG74">$G11/27*3*1000</f>
        <v>2.2222222222222223</v>
      </c>
      <c r="AH11" s="112">
        <f aca="true" t="shared" si="8" ref="AH11:AH74">$H11/28*4*1000</f>
        <v>418.2857142857143</v>
      </c>
      <c r="AI11" s="112">
        <f aca="true" t="shared" si="9" ref="AI11:AI74">$I11/14*1*1000</f>
        <v>0.7142857142857143</v>
      </c>
      <c r="AJ11" s="112">
        <f aca="true" t="shared" si="10" ref="AJ11:AJ74">$J11/14*1*1000</f>
        <v>5.07</v>
      </c>
      <c r="AK11" s="112">
        <f aca="true" t="shared" si="11" ref="AK11:AK74">$K11/31*3*1000</f>
        <v>1.5774193548387097</v>
      </c>
      <c r="AL11" s="112">
        <f aca="true" t="shared" si="12" ref="AL11:AL74">$L11/39*1*1000</f>
        <v>5.8769230769230765</v>
      </c>
      <c r="AM11" s="112">
        <f aca="true" t="shared" si="13" ref="AM11:AM74">$M11/40*2*1000</f>
        <v>26.205</v>
      </c>
      <c r="AN11" s="112">
        <f aca="true" t="shared" si="14" ref="AN11:AN74">$N11/24*2*1000</f>
        <v>30.108333333333334</v>
      </c>
      <c r="AO11" s="112">
        <f aca="true" t="shared" si="15" ref="AO11:AO74">$O11/23*1*1000</f>
        <v>120.82608695652173</v>
      </c>
      <c r="AP11" s="112">
        <f aca="true" t="shared" si="16" ref="AP11:AP74">$P11/32*2*1000</f>
        <v>48.4625</v>
      </c>
      <c r="AQ11" s="112">
        <f aca="true" t="shared" si="17" ref="AQ11:AQ74">$Q11/35*1*1000</f>
        <v>87.45714285714286</v>
      </c>
      <c r="AR11" s="103">
        <f>SUM(10^(6-R11))</f>
        <v>0.3090295432513592</v>
      </c>
      <c r="AS11" s="112">
        <f aca="true" t="shared" si="18" ref="AS11:AS74">$U11/31*3*1000</f>
        <v>4.838709677419355</v>
      </c>
      <c r="AT11" s="112">
        <f aca="true" t="shared" si="19" ref="AT11:AT43">$V11/32*2*1000</f>
        <v>48.737500000000004</v>
      </c>
      <c r="AU11" s="112">
        <f aca="true" t="shared" si="20" ref="AU11:AU74">$W11/63*2*1000</f>
        <v>0.06349206349206349</v>
      </c>
      <c r="AV11" s="112">
        <f aca="true" t="shared" si="21" ref="AV11:AV74">$X11/65*2*1000</f>
        <v>0.061538461538461535</v>
      </c>
      <c r="AW11" s="103">
        <f>$Z11/14*1*1000</f>
        <v>9.87142857142857</v>
      </c>
      <c r="AX11" s="103">
        <f>AW11-(AI11+AJ11)</f>
        <v>4.087142857142855</v>
      </c>
      <c r="AY11" s="97">
        <f>$AC11/14*1*1000</f>
        <v>5.090714285714286</v>
      </c>
      <c r="AZ11" s="103">
        <f>AI11+AJ11</f>
        <v>5.784285714285715</v>
      </c>
      <c r="BA11" s="113"/>
      <c r="BB11" s="113"/>
      <c r="BC11" s="112">
        <f>AL11+AM11+AN11+AO11+AI11</f>
        <v>183.73062908106385</v>
      </c>
      <c r="BD11" s="112">
        <f>AJ11+AP11+AQ11</f>
        <v>140.98964285714285</v>
      </c>
      <c r="BE11" s="96">
        <f>ABS(BC11-BD11)/(BC11+BD11)*100</f>
        <v>13.162401586080982</v>
      </c>
      <c r="BF11" s="114">
        <f>(('[1]setup'!$B$13*'[1]setup'!$B$14*'[1]setup'!$B$15)/10^(-R11))*10^6</f>
        <v>38.370177087481466</v>
      </c>
      <c r="BG11" s="115">
        <f>((10^-(0.96+0.9*R11-0.039*R11^2))*Y11*10)/((10^-(0.96+0.9*R11-0.039*R11^2))+10^(-R11))</f>
        <v>4.783278609849714</v>
      </c>
      <c r="BH11" s="114">
        <f>(AM11+AN11+AO11+AL11+AI11)-(AP11+AQ11+AJ11)</f>
        <v>42.74098622392103</v>
      </c>
      <c r="BI11" s="114">
        <f>(AM11+AN11+AO11+AL11+AI11)+((10^-R11)*10^6)</f>
        <v>184.03965862431525</v>
      </c>
      <c r="BJ11" s="114">
        <f>(AP11+AQ11+AJ11+BG11+BF11)</f>
        <v>184.14309855447402</v>
      </c>
      <c r="BK11" s="18">
        <f>ABS(BI11-BJ11)/(BI11+BJ11)*100</f>
        <v>0.028094724193871146</v>
      </c>
      <c r="BL11" s="96"/>
      <c r="BM11" s="112">
        <f>(3*('[1]setup'!$D$19*(10^-R11)^3)+2*('[1]setup'!$D$20*'[1]setup'!$D$19*((10^-R11)^2))+('[1]setup'!$D$21*'[1]setup'!$D$19*10^-R11)+('[1]setup'!$D$19*'[1]setup'!$D$22*(AP11/(10^6*2))*(10^-R11)^3))*10^6</f>
        <v>0.00034160853781422504</v>
      </c>
      <c r="BN11" s="103">
        <f>(AM11+AN11+AO11+AL11+AI11+(10^-R11)*10^6+BM11)-(AP11+AQ11+AJ11+BF11)</f>
        <v>4.68018028822874</v>
      </c>
      <c r="BO11" s="114">
        <f>(BN11/((('[1]setup'!$C$26)/10^-R11)+2*(('[1]setup'!$C$26*'[1]setup'!$C$27)/(10^-R11^2))+3*(('[1]setup'!$C$26*'[1]setup'!$C$27*'[1]setup'!$C$28)/(10^-R11^3))))/(10^-R11^3/(10^-R11^3+'[1]setup'!$C$26*10^-R11^2+'[1]setup'!$C$26*'[1]setup'!$C$27*10^-R11+'[1]setup'!$C$26*'[1]setup'!$C$27*'[1]setup'!$C$28))</f>
        <v>1.8560535427759939</v>
      </c>
      <c r="BP11" s="113"/>
      <c r="BQ11" s="111">
        <f t="shared" si="0"/>
        <v>183.73062908106385</v>
      </c>
      <c r="BR11" s="111">
        <f t="shared" si="1"/>
        <v>140.98964285714285</v>
      </c>
      <c r="BS11" s="111">
        <f t="shared" si="2"/>
        <v>1.3031498297164148</v>
      </c>
      <c r="BT11" s="111">
        <f t="shared" si="3"/>
        <v>42.026700509635276</v>
      </c>
      <c r="BU11" s="111">
        <f t="shared" si="4"/>
        <v>1.3815462409272332</v>
      </c>
    </row>
    <row r="12" spans="1:73" ht="12.75">
      <c r="A12" s="29">
        <v>38391</v>
      </c>
      <c r="B12" t="s">
        <v>37</v>
      </c>
      <c r="C12">
        <v>819275</v>
      </c>
      <c r="E12" s="61">
        <v>0.006</v>
      </c>
      <c r="F12" s="61">
        <v>0.002</v>
      </c>
      <c r="G12" s="61">
        <v>0.02</v>
      </c>
      <c r="H12" s="61">
        <v>2.828</v>
      </c>
      <c r="I12" s="61">
        <v>0.0143</v>
      </c>
      <c r="J12" s="61">
        <v>0.06866</v>
      </c>
      <c r="K12" s="61">
        <v>0.0155</v>
      </c>
      <c r="L12" s="61">
        <v>0.1499</v>
      </c>
      <c r="M12" s="61">
        <v>0.5671</v>
      </c>
      <c r="N12" s="61">
        <v>0.4233</v>
      </c>
      <c r="O12" s="61">
        <v>2.721</v>
      </c>
      <c r="P12" s="61">
        <v>0.6988</v>
      </c>
      <c r="Q12" s="61">
        <v>2.536</v>
      </c>
      <c r="R12" s="61">
        <v>6.75</v>
      </c>
      <c r="S12" s="61">
        <v>18.4</v>
      </c>
      <c r="T12" s="61">
        <v>23.813</v>
      </c>
      <c r="U12" s="61">
        <v>0.05</v>
      </c>
      <c r="V12" s="61">
        <v>0.802</v>
      </c>
      <c r="W12" s="61">
        <v>0.002</v>
      </c>
      <c r="X12" s="101">
        <v>0.002</v>
      </c>
      <c r="Y12" s="61">
        <v>0.6627</v>
      </c>
      <c r="Z12" s="61">
        <v>0.1006</v>
      </c>
      <c r="AA12" s="61">
        <v>0.01763999999999999</v>
      </c>
      <c r="AB12" s="61"/>
      <c r="AC12" s="61">
        <v>0.09758</v>
      </c>
      <c r="AE12" s="112">
        <f t="shared" si="5"/>
        <v>0.2142857142857143</v>
      </c>
      <c r="AF12" s="112">
        <f t="shared" si="6"/>
        <v>0.07272727272727272</v>
      </c>
      <c r="AG12" s="112">
        <f t="shared" si="7"/>
        <v>2.2222222222222223</v>
      </c>
      <c r="AH12" s="112">
        <f t="shared" si="8"/>
        <v>403.99999999999994</v>
      </c>
      <c r="AI12" s="112">
        <f t="shared" si="9"/>
        <v>1.0214285714285714</v>
      </c>
      <c r="AJ12" s="112">
        <f t="shared" si="10"/>
        <v>4.904285714285714</v>
      </c>
      <c r="AK12" s="112">
        <f t="shared" si="11"/>
        <v>1.5</v>
      </c>
      <c r="AL12" s="112">
        <f t="shared" si="12"/>
        <v>3.8435897435897437</v>
      </c>
      <c r="AM12" s="112">
        <f t="shared" si="13"/>
        <v>28.355</v>
      </c>
      <c r="AN12" s="112">
        <f t="shared" si="14"/>
        <v>35.275</v>
      </c>
      <c r="AO12" s="112">
        <f t="shared" si="15"/>
        <v>118.30434782608697</v>
      </c>
      <c r="AP12" s="112">
        <f t="shared" si="16"/>
        <v>43.675</v>
      </c>
      <c r="AQ12" s="112">
        <f t="shared" si="17"/>
        <v>72.45714285714286</v>
      </c>
      <c r="AR12" s="103">
        <f>SUM(10^(6-R12))</f>
        <v>0.17782794100389224</v>
      </c>
      <c r="AS12" s="112">
        <f t="shared" si="18"/>
        <v>4.838709677419355</v>
      </c>
      <c r="AT12" s="112">
        <f t="shared" si="19"/>
        <v>50.125</v>
      </c>
      <c r="AU12" s="112">
        <f t="shared" si="20"/>
        <v>0.06349206349206349</v>
      </c>
      <c r="AV12" s="112">
        <f t="shared" si="21"/>
        <v>0.061538461538461535</v>
      </c>
      <c r="AW12" s="103">
        <f>$Z12/14*1*1000</f>
        <v>7.185714285714286</v>
      </c>
      <c r="AX12" s="103">
        <f>AW12-(AI12+AJ12)</f>
        <v>1.2600000000000007</v>
      </c>
      <c r="AY12" s="97">
        <f>$AC12/14*1*1000</f>
        <v>6.97</v>
      </c>
      <c r="AZ12" s="103">
        <f aca="true" t="shared" si="22" ref="AZ12:AZ17">AI12+AJ12</f>
        <v>5.925714285714285</v>
      </c>
      <c r="BA12" s="113"/>
      <c r="BB12" s="113"/>
      <c r="BC12" s="112">
        <f>AL12+AM12+AN12+AO12+AI12</f>
        <v>186.79936614110528</v>
      </c>
      <c r="BD12" s="112">
        <f>AJ12+AP12+AQ12</f>
        <v>121.03642857142856</v>
      </c>
      <c r="BE12" s="96">
        <f>ABS(BC12-BD12)/(BC12+BD12)*100</f>
        <v>21.362992445725197</v>
      </c>
      <c r="BF12" s="114">
        <f>(('[1]setup'!$B$13*'[1]setup'!$B$14*'[1]setup'!$B$15)/10^(-R12))*10^6</f>
        <v>66.67972554188556</v>
      </c>
      <c r="BG12" s="115">
        <f>((10^-(0.96+0.9*R12-0.039*R12^2))*Y12*10)/((10^-(0.96+0.9*R12-0.039*R12^2))+10^(-R12))</f>
        <v>6.420172078058019</v>
      </c>
      <c r="BH12" s="114">
        <f>(AM12+AN12+AO12+AL12+AI12)-(AP12+AQ12+AJ12)</f>
        <v>65.76293756967671</v>
      </c>
      <c r="BI12" s="114">
        <f>(AM12+AN12+AO12+AL12+AI12)+((10^-R12)*10^6)</f>
        <v>186.97719408210918</v>
      </c>
      <c r="BJ12" s="114">
        <f>(AP12+AQ12+AJ12+BG12+BF12)</f>
        <v>194.13632619137215</v>
      </c>
      <c r="BK12" s="18">
        <f>ABS(BI12-BJ12)/(BI12+BJ12)*100</f>
        <v>1.878477600092929</v>
      </c>
      <c r="BL12" s="96"/>
      <c r="BM12" s="112">
        <f>(3*('[1]setup'!$D$19*(10^-R12)^3)+2*('[1]setup'!$D$20*'[1]setup'!$D$19*((10^-R12)^2))+('[1]setup'!$D$21*'[1]setup'!$D$19*10^-R12)+('[1]setup'!$D$19*'[1]setup'!$D$22*(AP12/(10^6*2))*(10^-R12)^3))*10^6</f>
        <v>0.00017809122278018933</v>
      </c>
      <c r="BN12" s="103">
        <f>(AM12+AN12+AO12+AL12+AI12+(10^-R12)*10^6+BM12)-(AP12+AQ12+AJ12+BF12)</f>
        <v>-0.7387819399821751</v>
      </c>
      <c r="BO12" s="114">
        <f>(BN12/((('[1]setup'!$C$26)/10^-R12)+2*(('[1]setup'!$C$26*'[1]setup'!$C$27)/(10^-R12^2))+3*(('[1]setup'!$C$26*'[1]setup'!$C$27*'[1]setup'!$C$28)/(10^-R12^3))))/(10^-R12^3/(10^-R12^3+'[1]setup'!$C$26*10^-R12^2+'[1]setup'!$C$26*'[1]setup'!$C$27*10^-R12+'[1]setup'!$C$26*'[1]setup'!$C$27*'[1]setup'!$C$28))</f>
        <v>-0.27797121328923463</v>
      </c>
      <c r="BP12" s="113"/>
      <c r="BQ12" s="111">
        <f t="shared" si="0"/>
        <v>186.79936614110528</v>
      </c>
      <c r="BR12" s="111">
        <f t="shared" si="1"/>
        <v>121.03642857142856</v>
      </c>
      <c r="BS12" s="111">
        <f t="shared" si="2"/>
        <v>1.543331774952921</v>
      </c>
      <c r="BT12" s="111">
        <f t="shared" si="3"/>
        <v>64.74150899824815</v>
      </c>
      <c r="BU12" s="111">
        <f t="shared" si="4"/>
        <v>1.6327492799341656</v>
      </c>
    </row>
    <row r="13" spans="1:73" ht="12.75">
      <c r="A13" s="29">
        <v>38419</v>
      </c>
      <c r="B13" t="s">
        <v>37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101"/>
      <c r="Y13" s="61"/>
      <c r="Z13" s="61"/>
      <c r="AA13" s="61"/>
      <c r="AB13" s="61"/>
      <c r="AC13" s="61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03"/>
      <c r="AS13" s="112"/>
      <c r="AT13" s="112"/>
      <c r="AU13" s="112"/>
      <c r="AV13" s="112"/>
      <c r="AW13" s="103"/>
      <c r="AX13" s="103"/>
      <c r="AY13" s="103"/>
      <c r="AZ13" s="103"/>
      <c r="BA13" s="113"/>
      <c r="BB13" s="113"/>
      <c r="BC13" s="112"/>
      <c r="BD13" s="112"/>
      <c r="BE13" s="96"/>
      <c r="BF13" s="114"/>
      <c r="BG13" s="115"/>
      <c r="BH13" s="114"/>
      <c r="BI13" s="114"/>
      <c r="BJ13" s="114"/>
      <c r="BK13" s="18"/>
      <c r="BL13" s="96"/>
      <c r="BM13" s="112"/>
      <c r="BN13" s="103"/>
      <c r="BO13" s="114"/>
      <c r="BP13" s="113"/>
      <c r="BQ13" s="111"/>
      <c r="BR13" s="111"/>
      <c r="BS13" s="111"/>
      <c r="BT13" s="111"/>
      <c r="BU13" s="111"/>
    </row>
    <row r="14" spans="1:73" ht="12.75">
      <c r="A14" s="29">
        <v>38433</v>
      </c>
      <c r="B14" t="s">
        <v>37</v>
      </c>
      <c r="C14">
        <v>823640</v>
      </c>
      <c r="E14" s="61">
        <v>0.006</v>
      </c>
      <c r="F14" s="61">
        <v>0.002</v>
      </c>
      <c r="G14" s="61">
        <v>0.02</v>
      </c>
      <c r="H14" s="61">
        <v>2.545</v>
      </c>
      <c r="I14" s="61">
        <v>0.0164</v>
      </c>
      <c r="J14" s="61">
        <v>0.07419</v>
      </c>
      <c r="K14" s="61">
        <v>0.0075</v>
      </c>
      <c r="L14" s="61">
        <v>0.1577</v>
      </c>
      <c r="M14" s="61">
        <v>0.4877</v>
      </c>
      <c r="N14" s="61">
        <v>0.3347</v>
      </c>
      <c r="O14" s="61">
        <v>2.413</v>
      </c>
      <c r="P14" s="61">
        <v>0.6777</v>
      </c>
      <c r="Q14" s="61">
        <v>2.57</v>
      </c>
      <c r="R14" s="61">
        <v>6.19</v>
      </c>
      <c r="S14" s="61">
        <v>19.8</v>
      </c>
      <c r="T14" s="61">
        <v>21.968</v>
      </c>
      <c r="U14" s="61">
        <v>0.05</v>
      </c>
      <c r="V14" s="61">
        <v>0.6987</v>
      </c>
      <c r="W14" s="61">
        <v>0.002</v>
      </c>
      <c r="X14" s="101">
        <v>0.002</v>
      </c>
      <c r="Y14" s="61">
        <v>0.5</v>
      </c>
      <c r="Z14" s="61">
        <v>0.08816</v>
      </c>
      <c r="AA14" s="61">
        <v>-0.0024300000000000016</v>
      </c>
      <c r="AB14" s="61"/>
      <c r="AC14" s="61">
        <v>0.1367</v>
      </c>
      <c r="AE14" s="112">
        <f t="shared" si="5"/>
        <v>0.2142857142857143</v>
      </c>
      <c r="AF14" s="112">
        <f t="shared" si="6"/>
        <v>0.07272727272727272</v>
      </c>
      <c r="AG14" s="112">
        <f t="shared" si="7"/>
        <v>2.2222222222222223</v>
      </c>
      <c r="AH14" s="112">
        <f t="shared" si="8"/>
        <v>363.57142857142856</v>
      </c>
      <c r="AI14" s="112">
        <f t="shared" si="9"/>
        <v>1.1714285714285715</v>
      </c>
      <c r="AJ14" s="112">
        <f t="shared" si="10"/>
        <v>5.299285714285714</v>
      </c>
      <c r="AK14" s="112">
        <f t="shared" si="11"/>
        <v>0.7258064516129031</v>
      </c>
      <c r="AL14" s="112">
        <f t="shared" si="12"/>
        <v>4.043589743589743</v>
      </c>
      <c r="AM14" s="112">
        <f t="shared" si="13"/>
        <v>24.385</v>
      </c>
      <c r="AN14" s="112">
        <f t="shared" si="14"/>
        <v>27.891666666666666</v>
      </c>
      <c r="AO14" s="112">
        <f t="shared" si="15"/>
        <v>104.91304347826086</v>
      </c>
      <c r="AP14" s="112">
        <f t="shared" si="16"/>
        <v>42.356249999999996</v>
      </c>
      <c r="AQ14" s="112">
        <f t="shared" si="17"/>
        <v>73.42857142857143</v>
      </c>
      <c r="AR14" s="103">
        <f>SUM(10^(6-R14))</f>
        <v>0.6456542290346549</v>
      </c>
      <c r="AS14" s="112">
        <f t="shared" si="18"/>
        <v>4.838709677419355</v>
      </c>
      <c r="AT14" s="112">
        <f t="shared" si="19"/>
        <v>43.668749999999996</v>
      </c>
      <c r="AU14" s="112">
        <f t="shared" si="20"/>
        <v>0.06349206349206349</v>
      </c>
      <c r="AV14" s="112">
        <f t="shared" si="21"/>
        <v>0.061538461538461535</v>
      </c>
      <c r="AW14" s="103">
        <f>$Z14/14*1*1000</f>
        <v>6.297142857142857</v>
      </c>
      <c r="AX14" s="103">
        <f>AW14-(AI14+AJ14)</f>
        <v>-0.17357142857142893</v>
      </c>
      <c r="AY14" s="103">
        <f>$AC14/14*1*1000</f>
        <v>9.764285714285712</v>
      </c>
      <c r="AZ14" s="103">
        <f t="shared" si="22"/>
        <v>6.470714285714286</v>
      </c>
      <c r="BA14" s="113"/>
      <c r="BB14" s="113"/>
      <c r="BC14" s="112">
        <f>AL14+AM14+AN14+AO14+AI14</f>
        <v>162.40472845994586</v>
      </c>
      <c r="BD14" s="112">
        <f>AJ14+AP14+AQ14</f>
        <v>121.08410714285714</v>
      </c>
      <c r="BE14" s="96">
        <f>ABS(BC14-BD14)/(BC14+BD14)*100</f>
        <v>14.575749069350714</v>
      </c>
      <c r="BF14" s="114">
        <f>(('[1]setup'!$B$13*'[1]setup'!$B$14*'[1]setup'!$B$15)/10^(-R14))*10^6</f>
        <v>18.36512140181726</v>
      </c>
      <c r="BG14" s="115">
        <f>((10^-(0.96+0.9*R14-0.039*R14^2))*Y14*10)/((10^-(0.96+0.9*R14-0.039*R14^2))+10^(-R14))</f>
        <v>4.671787455409479</v>
      </c>
      <c r="BH14" s="114">
        <f>(AM14+AN14+AO14+AL14+AI14)-(AP14+AQ14+AJ14)</f>
        <v>41.32062131708868</v>
      </c>
      <c r="BI14" s="114">
        <f>(AM14+AN14+AO14+AL14+AI14)+((10^-R14)*10^6)</f>
        <v>163.05038268898048</v>
      </c>
      <c r="BJ14" s="114">
        <f>(AP14+AQ14+AJ14+BG14+BF14)</f>
        <v>144.12101600008387</v>
      </c>
      <c r="BK14" s="18">
        <f>ABS(BI14-BJ14)/(BI14+BJ14)*100</f>
        <v>6.162476965525669</v>
      </c>
      <c r="BL14" s="96"/>
      <c r="BM14" s="112">
        <f>(3*('[1]setup'!$D$19*(10^-R14)^3)+2*('[1]setup'!$D$20*'[1]setup'!$D$19*((10^-R14)^2))+('[1]setup'!$D$21*'[1]setup'!$D$19*10^-R14)+('[1]setup'!$D$19*'[1]setup'!$D$22*(AP14/(10^6*2))*(10^-R14)^3))*10^6</f>
        <v>0.0009165387358016256</v>
      </c>
      <c r="BN14" s="103">
        <f>(AM14+AN14+AO14+AL14+AI14+(10^-R14)*10^6+BM14)-(AP14+AQ14+AJ14+BF14)</f>
        <v>23.60207068304186</v>
      </c>
      <c r="BO14" s="114">
        <f>(BN14/((('[1]setup'!$C$26)/10^-R14)+2*(('[1]setup'!$C$26*'[1]setup'!$C$27)/(10^-R14^2))+3*(('[1]setup'!$C$26*'[1]setup'!$C$27*'[1]setup'!$C$28)/(10^-R14^3))))/(10^-R14^3/(10^-R14^3+'[1]setup'!$C$26*10^-R14^2+'[1]setup'!$C$26*'[1]setup'!$C$27*10^-R14+'[1]setup'!$C$26*'[1]setup'!$C$27*'[1]setup'!$C$28))</f>
        <v>10.124096170506153</v>
      </c>
      <c r="BP14" s="113"/>
      <c r="BQ14" s="111">
        <f t="shared" si="0"/>
        <v>162.40472845994583</v>
      </c>
      <c r="BR14" s="111">
        <f t="shared" si="1"/>
        <v>121.08410714285714</v>
      </c>
      <c r="BS14" s="111">
        <f t="shared" si="2"/>
        <v>1.3412555313170695</v>
      </c>
      <c r="BT14" s="111">
        <f t="shared" si="3"/>
        <v>40.149192745660145</v>
      </c>
      <c r="BU14" s="111">
        <f t="shared" si="4"/>
        <v>1.4287768567078327</v>
      </c>
    </row>
    <row r="15" spans="1:73" ht="12.75">
      <c r="A15" s="29">
        <v>38447</v>
      </c>
      <c r="B15" t="s">
        <v>37</v>
      </c>
      <c r="C15">
        <v>825270</v>
      </c>
      <c r="E15" s="61">
        <v>0.006</v>
      </c>
      <c r="F15" s="61">
        <v>0.002</v>
      </c>
      <c r="G15" s="61">
        <v>0.02</v>
      </c>
      <c r="H15" s="61">
        <v>2.734</v>
      </c>
      <c r="I15" s="61">
        <v>0.0181</v>
      </c>
      <c r="J15" s="61">
        <v>0.07916</v>
      </c>
      <c r="K15" s="61">
        <v>0.005</v>
      </c>
      <c r="L15" s="61">
        <v>0.3915</v>
      </c>
      <c r="M15" s="61">
        <v>0.5532</v>
      </c>
      <c r="N15" s="61">
        <v>0.2918</v>
      </c>
      <c r="O15" s="61">
        <v>2.615</v>
      </c>
      <c r="P15" s="61">
        <v>0.7139</v>
      </c>
      <c r="Q15" s="61">
        <v>2.638</v>
      </c>
      <c r="R15" s="61">
        <v>6.27</v>
      </c>
      <c r="S15" s="61">
        <v>21</v>
      </c>
      <c r="T15" s="61">
        <v>23.147</v>
      </c>
      <c r="U15" s="61">
        <v>0.05</v>
      </c>
      <c r="V15" s="61">
        <v>0.7758</v>
      </c>
      <c r="W15" s="61">
        <v>0.0023</v>
      </c>
      <c r="X15" s="101">
        <v>0.002</v>
      </c>
      <c r="Y15" s="61">
        <v>0.7674</v>
      </c>
      <c r="Z15" s="61">
        <v>0.2556</v>
      </c>
      <c r="AA15" s="61">
        <v>0.15833999999999998</v>
      </c>
      <c r="AB15" s="61"/>
      <c r="AC15" s="61">
        <v>0.2607</v>
      </c>
      <c r="AE15" s="112">
        <f t="shared" si="5"/>
        <v>0.2142857142857143</v>
      </c>
      <c r="AF15" s="112">
        <f t="shared" si="6"/>
        <v>0.07272727272727272</v>
      </c>
      <c r="AG15" s="112">
        <f t="shared" si="7"/>
        <v>2.2222222222222223</v>
      </c>
      <c r="AH15" s="112">
        <f t="shared" si="8"/>
        <v>390.57142857142856</v>
      </c>
      <c r="AI15" s="112">
        <f t="shared" si="9"/>
        <v>1.292857142857143</v>
      </c>
      <c r="AJ15" s="112">
        <f t="shared" si="10"/>
        <v>5.654285714285714</v>
      </c>
      <c r="AK15" s="112">
        <f t="shared" si="11"/>
        <v>0.4838709677419355</v>
      </c>
      <c r="AL15" s="112">
        <f t="shared" si="12"/>
        <v>10.03846153846154</v>
      </c>
      <c r="AM15" s="112">
        <f t="shared" si="13"/>
        <v>27.66</v>
      </c>
      <c r="AN15" s="112">
        <f t="shared" si="14"/>
        <v>24.316666666666666</v>
      </c>
      <c r="AO15" s="112">
        <f t="shared" si="15"/>
        <v>113.69565217391306</v>
      </c>
      <c r="AP15" s="112">
        <f t="shared" si="16"/>
        <v>44.61875</v>
      </c>
      <c r="AQ15" s="112">
        <f t="shared" si="17"/>
        <v>75.37142857142858</v>
      </c>
      <c r="AR15" s="103">
        <f>SUM(10^(6-R15))</f>
        <v>0.5370317963702532</v>
      </c>
      <c r="AS15" s="112">
        <f t="shared" si="18"/>
        <v>4.838709677419355</v>
      </c>
      <c r="AT15" s="112">
        <f t="shared" si="19"/>
        <v>48.487500000000004</v>
      </c>
      <c r="AU15" s="112">
        <f t="shared" si="20"/>
        <v>0.07301587301587302</v>
      </c>
      <c r="AV15" s="112">
        <f t="shared" si="21"/>
        <v>0.061538461538461535</v>
      </c>
      <c r="AW15" s="103">
        <f>$Z15/14*1*1000</f>
        <v>18.257142857142856</v>
      </c>
      <c r="AX15" s="103">
        <f>AW15-(AI15+AJ15)</f>
        <v>11.309999999999999</v>
      </c>
      <c r="AY15" s="103">
        <f>$AC15/14*1*1000</f>
        <v>18.62142857142857</v>
      </c>
      <c r="AZ15" s="103">
        <f t="shared" si="22"/>
        <v>6.947142857142857</v>
      </c>
      <c r="BA15" s="113"/>
      <c r="BB15" s="113"/>
      <c r="BC15" s="112">
        <f>AL15+AM15+AN15+AO15+AI15</f>
        <v>177.0036375218984</v>
      </c>
      <c r="BD15" s="112">
        <f>AJ15+AP15+AQ15</f>
        <v>125.64446428571429</v>
      </c>
      <c r="BE15" s="96">
        <f>ABS(BC15-BD15)/(BC15+BD15)*100</f>
        <v>16.969930731246453</v>
      </c>
      <c r="BF15" s="114">
        <f>(('[1]setup'!$B$13*'[1]setup'!$B$14*'[1]setup'!$B$15)/10^(-R15))*10^6</f>
        <v>22.07973229883592</v>
      </c>
      <c r="BG15" s="115">
        <f>((10^-(0.96+0.9*R15-0.039*R15^2))*Y15*10)/((10^-(0.96+0.9*R15-0.039*R15^2))+10^(-R15))</f>
        <v>7.218741177486321</v>
      </c>
      <c r="BH15" s="114">
        <f>(AM15+AN15+AO15+AL15+AI15)-(AP15+AQ15+AJ15)</f>
        <v>51.35917323618412</v>
      </c>
      <c r="BI15" s="114">
        <f>(AM15+AN15+AO15+AL15+AI15)+((10^-R15)*10^6)</f>
        <v>177.54066931826867</v>
      </c>
      <c r="BJ15" s="114">
        <f>(AP15+AQ15+AJ15+BG15+BF15)</f>
        <v>154.94293776203654</v>
      </c>
      <c r="BK15" s="18">
        <f>ABS(BI15-BJ15)/(BI15+BJ15)*100</f>
        <v>6.796645330779895</v>
      </c>
      <c r="BL15" s="96"/>
      <c r="BM15" s="112">
        <f>(3*('[1]setup'!$D$19*(10^-R15)^3)+2*('[1]setup'!$D$20*'[1]setup'!$D$19*((10^-R15)^2))+('[1]setup'!$D$21*'[1]setup'!$D$19*10^-R15)+('[1]setup'!$D$19*'[1]setup'!$D$22*(AP15/(10^6*2))*(10^-R15)^3))*10^6</f>
        <v>0.000703905557992431</v>
      </c>
      <c r="BN15" s="103">
        <f>(AM15+AN15+AO15+AL15+AI15+(10^-R15)*10^6+BM15)-(AP15+AQ15+AJ15+BF15)</f>
        <v>29.817176639276454</v>
      </c>
      <c r="BO15" s="114">
        <f>(BN15/((('[1]setup'!$C$26)/10^-R15)+2*(('[1]setup'!$C$26*'[1]setup'!$C$27)/(10^-R15^2))+3*(('[1]setup'!$C$26*'[1]setup'!$C$27*'[1]setup'!$C$28)/(10^-R15^3))))/(10^-R15^3/(10^-R15^3+'[1]setup'!$C$26*10^-R15^2+'[1]setup'!$C$26*'[1]setup'!$C$27*10^-R15+'[1]setup'!$C$26*'[1]setup'!$C$27*'[1]setup'!$C$28))</f>
        <v>12.539949112608214</v>
      </c>
      <c r="BP15" s="113"/>
      <c r="BQ15" s="111">
        <f t="shared" si="0"/>
        <v>177.0036375218984</v>
      </c>
      <c r="BR15" s="111">
        <f t="shared" si="1"/>
        <v>125.64446428571429</v>
      </c>
      <c r="BS15" s="111">
        <f t="shared" si="2"/>
        <v>1.4087659056700967</v>
      </c>
      <c r="BT15" s="111">
        <f t="shared" si="3"/>
        <v>50.066316093326975</v>
      </c>
      <c r="BU15" s="111">
        <f t="shared" si="4"/>
        <v>1.5084715034446385</v>
      </c>
    </row>
    <row r="16" spans="1:73" ht="12.75">
      <c r="A16" s="29">
        <v>38461</v>
      </c>
      <c r="B16" t="s">
        <v>37</v>
      </c>
      <c r="C16">
        <v>826109</v>
      </c>
      <c r="E16" s="61">
        <v>0.006</v>
      </c>
      <c r="F16" s="61">
        <v>0.002</v>
      </c>
      <c r="G16" s="61">
        <v>0.1138</v>
      </c>
      <c r="H16" s="61">
        <v>2.009</v>
      </c>
      <c r="I16" s="61">
        <v>0.01</v>
      </c>
      <c r="J16" s="61">
        <v>0.05623</v>
      </c>
      <c r="K16" s="61">
        <v>0.0051</v>
      </c>
      <c r="L16" s="61">
        <v>0.274</v>
      </c>
      <c r="M16" s="61">
        <v>0.5188</v>
      </c>
      <c r="N16" s="61">
        <v>0.3535</v>
      </c>
      <c r="O16" s="61">
        <v>2.591</v>
      </c>
      <c r="P16" s="61">
        <v>0.5465</v>
      </c>
      <c r="Q16" s="61">
        <v>3.423</v>
      </c>
      <c r="R16" s="61">
        <v>6.17</v>
      </c>
      <c r="S16" s="61">
        <v>19.6</v>
      </c>
      <c r="T16" s="61">
        <v>23.199</v>
      </c>
      <c r="U16" s="61">
        <v>0.05</v>
      </c>
      <c r="V16" s="61">
        <v>0.6518</v>
      </c>
      <c r="W16" s="61">
        <v>0.002</v>
      </c>
      <c r="X16" s="101">
        <v>0.002</v>
      </c>
      <c r="Y16" s="61">
        <v>2.653</v>
      </c>
      <c r="Z16" s="61">
        <v>0.1025</v>
      </c>
      <c r="AA16" s="61">
        <v>0.03627</v>
      </c>
      <c r="AB16" s="61"/>
      <c r="AC16" s="61">
        <v>0.06783</v>
      </c>
      <c r="AE16" s="112">
        <f t="shared" si="5"/>
        <v>0.2142857142857143</v>
      </c>
      <c r="AF16" s="112">
        <f t="shared" si="6"/>
        <v>0.07272727272727272</v>
      </c>
      <c r="AG16" s="112">
        <f t="shared" si="7"/>
        <v>12.644444444444444</v>
      </c>
      <c r="AH16" s="112">
        <f t="shared" si="8"/>
        <v>287</v>
      </c>
      <c r="AI16" s="112">
        <f t="shared" si="9"/>
        <v>0.7142857142857143</v>
      </c>
      <c r="AJ16" s="112">
        <f t="shared" si="10"/>
        <v>4.0164285714285715</v>
      </c>
      <c r="AK16" s="112">
        <f t="shared" si="11"/>
        <v>0.49354838709677423</v>
      </c>
      <c r="AL16" s="112">
        <f t="shared" si="12"/>
        <v>7.0256410256410255</v>
      </c>
      <c r="AM16" s="112">
        <f t="shared" si="13"/>
        <v>25.94</v>
      </c>
      <c r="AN16" s="112">
        <f t="shared" si="14"/>
        <v>29.458333333333332</v>
      </c>
      <c r="AO16" s="112">
        <f t="shared" si="15"/>
        <v>112.65217391304348</v>
      </c>
      <c r="AP16" s="112">
        <f t="shared" si="16"/>
        <v>34.15625</v>
      </c>
      <c r="AQ16" s="112">
        <f t="shared" si="17"/>
        <v>97.8</v>
      </c>
      <c r="AR16" s="103">
        <f>SUM(10^(6-R16))</f>
        <v>0.6760829753919818</v>
      </c>
      <c r="AS16" s="112">
        <f t="shared" si="18"/>
        <v>4.838709677419355</v>
      </c>
      <c r="AT16" s="112">
        <f t="shared" si="19"/>
        <v>40.737500000000004</v>
      </c>
      <c r="AU16" s="112">
        <f t="shared" si="20"/>
        <v>0.06349206349206349</v>
      </c>
      <c r="AV16" s="112">
        <f t="shared" si="21"/>
        <v>0.061538461538461535</v>
      </c>
      <c r="AW16" s="103">
        <f>$Z16/14*1*1000</f>
        <v>7.321428571428571</v>
      </c>
      <c r="AX16" s="103">
        <f>AW16-(AI16+AJ16)</f>
        <v>2.5907142857142853</v>
      </c>
      <c r="AY16" s="103">
        <f>$AC16/14*1*1000</f>
        <v>4.845000000000001</v>
      </c>
      <c r="AZ16" s="103">
        <f t="shared" si="22"/>
        <v>4.730714285714286</v>
      </c>
      <c r="BA16" s="113"/>
      <c r="BB16" s="113"/>
      <c r="BC16" s="112">
        <f>AL16+AM16+AN16+AO16+AI16</f>
        <v>175.79043398630358</v>
      </c>
      <c r="BD16" s="112">
        <f>AJ16+AP16+AQ16</f>
        <v>135.97267857142856</v>
      </c>
      <c r="BE16" s="96">
        <f>ABS(BC16-BD16)/(BC16+BD16)*100</f>
        <v>12.771798141289596</v>
      </c>
      <c r="BF16" s="114">
        <f>(('[1]setup'!$B$13*'[1]setup'!$B$14*'[1]setup'!$B$15)/10^(-R16))*10^6</f>
        <v>17.538554780119053</v>
      </c>
      <c r="BG16" s="115">
        <f>((10^-(0.96+0.9*R16-0.039*R16^2))*Y16*10)/((10^-(0.96+0.9*R16-0.039*R16^2))+10^(-R16))</f>
        <v>24.74437833232899</v>
      </c>
      <c r="BH16" s="114">
        <f>(AM16+AN16+AO16+AL16+AI16)-(AP16+AQ16+AJ16)</f>
        <v>39.817755414874966</v>
      </c>
      <c r="BI16" s="114">
        <f>(AM16+AN16+AO16+AL16+AI16)+((10^-R16)*10^6)</f>
        <v>176.46651696169553</v>
      </c>
      <c r="BJ16" s="114">
        <f>(AP16+AQ16+AJ16+BG16+BF16)</f>
        <v>178.25561168387662</v>
      </c>
      <c r="BK16" s="18">
        <f>ABS(BI16-BJ16)/(BI16+BJ16)*100</f>
        <v>0.504365129125818</v>
      </c>
      <c r="BL16" s="96"/>
      <c r="BM16" s="112">
        <f>(3*('[1]setup'!$D$19*(10^-R16)^3)+2*('[1]setup'!$D$20*'[1]setup'!$D$19*((10^-R16)^2))+('[1]setup'!$D$21*'[1]setup'!$D$19*10^-R16)+('[1]setup'!$D$19*'[1]setup'!$D$22*(AP16/(10^6*2))*(10^-R16)^3))*10^6</f>
        <v>0.0009811061748027598</v>
      </c>
      <c r="BN16" s="103">
        <f>(AM16+AN16+AO16+AL16+AI16+(10^-R16)*10^6+BM16)-(AP16+AQ16+AJ16+BF16)</f>
        <v>22.956264716322693</v>
      </c>
      <c r="BO16" s="114">
        <f>(BN16/((('[1]setup'!$C$26)/10^-R16)+2*(('[1]setup'!$C$26*'[1]setup'!$C$27)/(10^-R16^2))+3*(('[1]setup'!$C$26*'[1]setup'!$C$27*'[1]setup'!$C$28)/(10^-R16^3))))/(10^-R16^3/(10^-R16^3+'[1]setup'!$C$26*10^-R16^2+'[1]setup'!$C$26*'[1]setup'!$C$27*10^-R16+'[1]setup'!$C$26*'[1]setup'!$C$27*'[1]setup'!$C$28))</f>
        <v>9.8954150782696</v>
      </c>
      <c r="BP16" s="113"/>
      <c r="BQ16" s="111">
        <f t="shared" si="0"/>
        <v>175.79043398630355</v>
      </c>
      <c r="BR16" s="111">
        <f t="shared" si="1"/>
        <v>135.97267857142856</v>
      </c>
      <c r="BS16" s="111">
        <f t="shared" si="2"/>
        <v>1.292836442094197</v>
      </c>
      <c r="BT16" s="111">
        <f t="shared" si="3"/>
        <v>39.1034697005893</v>
      </c>
      <c r="BU16" s="111">
        <f t="shared" si="4"/>
        <v>1.151862718947275</v>
      </c>
    </row>
    <row r="17" spans="1:73" ht="12.75">
      <c r="A17" s="29">
        <v>38477</v>
      </c>
      <c r="B17" t="s">
        <v>37</v>
      </c>
      <c r="C17">
        <v>827202</v>
      </c>
      <c r="E17" s="61">
        <v>0.006</v>
      </c>
      <c r="F17" s="61">
        <v>0.002</v>
      </c>
      <c r="G17" s="61">
        <v>0.0225</v>
      </c>
      <c r="H17" s="61">
        <v>2.873</v>
      </c>
      <c r="I17" s="61">
        <v>0.01</v>
      </c>
      <c r="J17" s="61">
        <v>0.08853</v>
      </c>
      <c r="K17" s="61">
        <v>0.005</v>
      </c>
      <c r="L17" s="61">
        <v>0.2414</v>
      </c>
      <c r="M17" s="61">
        <v>0.5098</v>
      </c>
      <c r="N17" s="61">
        <v>0.3452</v>
      </c>
      <c r="O17" s="61">
        <v>2.59</v>
      </c>
      <c r="P17" s="61">
        <v>0.6983</v>
      </c>
      <c r="Q17" s="61">
        <v>2.657</v>
      </c>
      <c r="R17" s="61">
        <v>6.39</v>
      </c>
      <c r="S17" s="61">
        <v>17.7</v>
      </c>
      <c r="T17" s="61">
        <v>22.781</v>
      </c>
      <c r="U17" s="61">
        <v>0.05</v>
      </c>
      <c r="V17" s="61">
        <v>0.7294</v>
      </c>
      <c r="W17" s="61">
        <v>0.0058</v>
      </c>
      <c r="X17" s="101">
        <v>0.003</v>
      </c>
      <c r="Y17" s="61">
        <v>0.9936</v>
      </c>
      <c r="Z17" s="61">
        <v>0.163</v>
      </c>
      <c r="AA17" s="61">
        <v>0.06447000000000001</v>
      </c>
      <c r="AB17" s="61"/>
      <c r="AC17" s="61">
        <v>0.1376</v>
      </c>
      <c r="AE17" s="116">
        <f t="shared" si="5"/>
        <v>0.2142857142857143</v>
      </c>
      <c r="AF17" s="116">
        <f t="shared" si="6"/>
        <v>0.07272727272727272</v>
      </c>
      <c r="AG17" s="116">
        <f t="shared" si="7"/>
        <v>2.4999999999999996</v>
      </c>
      <c r="AH17" s="116">
        <f t="shared" si="8"/>
        <v>410.4285714285715</v>
      </c>
      <c r="AI17" s="116">
        <f t="shared" si="9"/>
        <v>0.7142857142857143</v>
      </c>
      <c r="AJ17" s="116">
        <f t="shared" si="10"/>
        <v>6.323571428571428</v>
      </c>
      <c r="AK17" s="116">
        <f t="shared" si="11"/>
        <v>0.4838709677419355</v>
      </c>
      <c r="AL17" s="116">
        <f t="shared" si="12"/>
        <v>6.18974358974359</v>
      </c>
      <c r="AM17" s="116">
        <f t="shared" si="13"/>
        <v>25.490000000000002</v>
      </c>
      <c r="AN17" s="116">
        <f t="shared" si="14"/>
        <v>28.766666666666666</v>
      </c>
      <c r="AO17" s="116">
        <f t="shared" si="15"/>
        <v>112.6086956521739</v>
      </c>
      <c r="AP17" s="116">
        <f t="shared" si="16"/>
        <v>43.643750000000004</v>
      </c>
      <c r="AQ17" s="116">
        <f t="shared" si="17"/>
        <v>75.91428571428571</v>
      </c>
      <c r="AR17" s="95">
        <f>SUM(10^(6-R17))</f>
        <v>0.407380277804113</v>
      </c>
      <c r="AS17" s="116">
        <f t="shared" si="18"/>
        <v>4.838709677419355</v>
      </c>
      <c r="AT17" s="116">
        <f t="shared" si="19"/>
        <v>45.587500000000006</v>
      </c>
      <c r="AU17" s="116">
        <f t="shared" si="20"/>
        <v>0.1841269841269841</v>
      </c>
      <c r="AV17" s="116">
        <f t="shared" si="21"/>
        <v>0.09230769230769231</v>
      </c>
      <c r="AW17" s="95">
        <f>$Z17/14*1*1000</f>
        <v>11.642857142857144</v>
      </c>
      <c r="AX17" s="103">
        <f>AW17-(AI17+AJ17)</f>
        <v>4.605000000000001</v>
      </c>
      <c r="AY17" s="95">
        <f>$AC17/14*1*1000</f>
        <v>9.828571428571427</v>
      </c>
      <c r="AZ17" s="95">
        <f t="shared" si="22"/>
        <v>7.037857142857143</v>
      </c>
      <c r="BA17" s="113"/>
      <c r="BB17" s="113"/>
      <c r="BC17" s="112">
        <f>AL17+AM17+AN17+AO17+AI17</f>
        <v>173.76939162286988</v>
      </c>
      <c r="BD17" s="112">
        <f>AJ17+AP17+AQ17</f>
        <v>125.88160714285715</v>
      </c>
      <c r="BE17" s="96">
        <f>ABS(BC17-BD17)/(BC17+BD17)*100</f>
        <v>15.981186339195993</v>
      </c>
      <c r="BF17" s="117">
        <f>(('[1]setup'!$B$13*'[1]setup'!$B$14*'[1]setup'!$B$15)/10^(-R17))*10^6</f>
        <v>29.106755888462022</v>
      </c>
      <c r="BG17" s="118">
        <f>((10^-(0.96+0.9*R17-0.039*R17^2))*Y17*10)/((10^-(0.96+0.9*R17-0.039*R17^2))+10^(-R17))</f>
        <v>9.431204734805808</v>
      </c>
      <c r="BH17" s="117">
        <f>(AM17+AN17+AO17+AL17+AI17)-(AP17+AQ17+AJ17)</f>
        <v>47.887784480012726</v>
      </c>
      <c r="BI17" s="117">
        <f>(AM17+AN17+AO17+AL17+AI17)+((10^-R17)*10^6)</f>
        <v>174.176771900674</v>
      </c>
      <c r="BJ17" s="117">
        <f>(AP17+AQ17+AJ17+BG17+BF17)</f>
        <v>164.419567766125</v>
      </c>
      <c r="BK17" s="119">
        <f>ABS(BI17-BJ17)/(BI17+BJ17)*100</f>
        <v>2.8816626145902013</v>
      </c>
      <c r="BL17" s="120"/>
      <c r="BM17" s="116">
        <f>(3*('[1]setup'!$D$19*(10^-R17)^3)+2*('[1]setup'!$D$20*'[1]setup'!$D$19*((10^-R17)^2))+('[1]setup'!$D$21*'[1]setup'!$D$19*10^-R17)+('[1]setup'!$D$19*'[1]setup'!$D$22*(AP17/(10^6*2))*(10^-R17)^3))*10^6</f>
        <v>0.00048483196513712454</v>
      </c>
      <c r="BN17" s="95">
        <f>(AM17+AN17+AO17+AL17+AI17+(10^-R17)*10^6+BM17)-(AP17+AQ17+AJ17+BF17)</f>
        <v>19.188893701319955</v>
      </c>
      <c r="BO17" s="117">
        <f>(BN17/((('[1]setup'!$C$26)/10^-R17)+2*(('[1]setup'!$C$26*'[1]setup'!$C$27)/(10^-R17^2))+3*(('[1]setup'!$C$26*'[1]setup'!$C$27*'[1]setup'!$C$28)/(10^-R17^3))))/(10^-R17^3/(10^-R17^3+'[1]setup'!$C$26*10^-R17^2+'[1]setup'!$C$26*'[1]setup'!$C$27*10^-R17+'[1]setup'!$C$26*'[1]setup'!$C$27*'[1]setup'!$C$28))</f>
        <v>7.833922154644916</v>
      </c>
      <c r="BP17" s="113"/>
      <c r="BQ17" s="111">
        <f t="shared" si="0"/>
        <v>173.76939162286988</v>
      </c>
      <c r="BR17" s="111">
        <f t="shared" si="1"/>
        <v>125.88160714285715</v>
      </c>
      <c r="BS17" s="111">
        <f t="shared" si="2"/>
        <v>1.3804192333330088</v>
      </c>
      <c r="BT17" s="111">
        <f t="shared" si="3"/>
        <v>47.173498765727004</v>
      </c>
      <c r="BU17" s="111">
        <f t="shared" si="4"/>
        <v>1.4833663333933333</v>
      </c>
    </row>
    <row r="18" spans="1:73" ht="12.75">
      <c r="A18" s="29">
        <v>38489</v>
      </c>
      <c r="B18" t="s">
        <v>37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101"/>
      <c r="Y18" s="61"/>
      <c r="Z18" s="61"/>
      <c r="AA18" s="61"/>
      <c r="AB18" s="61"/>
      <c r="AC18" s="61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03"/>
      <c r="AS18" s="112"/>
      <c r="AT18" s="112"/>
      <c r="AU18" s="112"/>
      <c r="AV18" s="112"/>
      <c r="AW18" s="103"/>
      <c r="AX18" s="103"/>
      <c r="AY18" s="103"/>
      <c r="AZ18" s="103"/>
      <c r="BA18" s="113"/>
      <c r="BB18" s="113"/>
      <c r="BC18" s="112"/>
      <c r="BD18" s="112"/>
      <c r="BE18" s="96"/>
      <c r="BF18" s="114"/>
      <c r="BG18" s="115"/>
      <c r="BH18" s="114"/>
      <c r="BI18" s="114"/>
      <c r="BJ18" s="114"/>
      <c r="BK18" s="18"/>
      <c r="BL18" s="96"/>
      <c r="BM18" s="112"/>
      <c r="BN18" s="103"/>
      <c r="BO18" s="114"/>
      <c r="BP18" s="113"/>
      <c r="BQ18" s="111"/>
      <c r="BR18" s="111"/>
      <c r="BS18" s="111"/>
      <c r="BT18" s="111"/>
      <c r="BU18" s="111"/>
    </row>
    <row r="19" spans="1:73" ht="12.75">
      <c r="A19" s="29">
        <v>38502</v>
      </c>
      <c r="B19" t="s">
        <v>37</v>
      </c>
      <c r="C19">
        <v>828804</v>
      </c>
      <c r="E19" s="61">
        <v>0.006</v>
      </c>
      <c r="F19" s="61">
        <v>0.002</v>
      </c>
      <c r="G19" s="61">
        <v>0.0842</v>
      </c>
      <c r="H19" s="61">
        <v>2.576</v>
      </c>
      <c r="I19" s="61">
        <v>0.01</v>
      </c>
      <c r="J19" s="61">
        <v>0.04613</v>
      </c>
      <c r="K19" s="61">
        <v>0.0095</v>
      </c>
      <c r="L19" s="61">
        <v>0.235</v>
      </c>
      <c r="M19" s="61">
        <v>0.4958</v>
      </c>
      <c r="N19" s="61">
        <v>0.3165</v>
      </c>
      <c r="O19" s="61">
        <v>2.419</v>
      </c>
      <c r="P19" s="61">
        <v>0.5906</v>
      </c>
      <c r="Q19" s="61">
        <v>2.541</v>
      </c>
      <c r="R19" s="61">
        <v>6.18</v>
      </c>
      <c r="S19" s="61">
        <v>20.3</v>
      </c>
      <c r="T19" s="61">
        <v>21.664</v>
      </c>
      <c r="U19" s="61">
        <v>0.05</v>
      </c>
      <c r="V19" s="61">
        <v>0.6795</v>
      </c>
      <c r="W19" s="61">
        <v>0.002</v>
      </c>
      <c r="X19" s="101">
        <v>0.0025</v>
      </c>
      <c r="Y19" s="61">
        <v>2.488</v>
      </c>
      <c r="Z19" s="61">
        <v>0.2713</v>
      </c>
      <c r="AA19" s="61">
        <v>0.21516999999999997</v>
      </c>
      <c r="AB19" s="61"/>
      <c r="AC19" s="61">
        <v>0.2511</v>
      </c>
      <c r="AE19" s="112">
        <f t="shared" si="5"/>
        <v>0.2142857142857143</v>
      </c>
      <c r="AF19" s="112">
        <f t="shared" si="6"/>
        <v>0.07272727272727272</v>
      </c>
      <c r="AG19" s="112">
        <f t="shared" si="7"/>
        <v>9.355555555555554</v>
      </c>
      <c r="AH19" s="112">
        <f t="shared" si="8"/>
        <v>368</v>
      </c>
      <c r="AI19" s="112">
        <f t="shared" si="9"/>
        <v>0.7142857142857143</v>
      </c>
      <c r="AJ19" s="112">
        <f t="shared" si="10"/>
        <v>3.295</v>
      </c>
      <c r="AK19" s="112">
        <f t="shared" si="11"/>
        <v>0.9193548387096774</v>
      </c>
      <c r="AL19" s="112">
        <f t="shared" si="12"/>
        <v>6.025641025641025</v>
      </c>
      <c r="AM19" s="112">
        <f t="shared" si="13"/>
        <v>24.79</v>
      </c>
      <c r="AN19" s="112">
        <f t="shared" si="14"/>
        <v>26.375</v>
      </c>
      <c r="AO19" s="112">
        <f t="shared" si="15"/>
        <v>105.17391304347825</v>
      </c>
      <c r="AP19" s="112">
        <f t="shared" si="16"/>
        <v>36.9125</v>
      </c>
      <c r="AQ19" s="112">
        <f t="shared" si="17"/>
        <v>72.6</v>
      </c>
      <c r="AR19" s="103">
        <f aca="true" t="shared" si="23" ref="AR19:AR31">SUM(10^(6-R19))</f>
        <v>0.6606934480075963</v>
      </c>
      <c r="AS19" s="112">
        <f t="shared" si="18"/>
        <v>4.838709677419355</v>
      </c>
      <c r="AT19" s="112">
        <f t="shared" si="19"/>
        <v>42.46875</v>
      </c>
      <c r="AU19" s="112">
        <f t="shared" si="20"/>
        <v>0.06349206349206349</v>
      </c>
      <c r="AV19" s="112">
        <f t="shared" si="21"/>
        <v>0.07692307692307693</v>
      </c>
      <c r="AW19" s="103">
        <f aca="true" t="shared" si="24" ref="AW19:AW79">$Z19/14*1*1000</f>
        <v>19.37857142857143</v>
      </c>
      <c r="AX19" s="103">
        <f>AW19-(AI19+AJ19)</f>
        <v>15.369285714285716</v>
      </c>
      <c r="AY19" s="103">
        <f>$AC19/14*1*1000</f>
        <v>17.935714285714283</v>
      </c>
      <c r="AZ19" s="103">
        <f aca="true" t="shared" si="25" ref="AZ19:AZ31">AI19+AJ19</f>
        <v>4.009285714285714</v>
      </c>
      <c r="BA19" s="113"/>
      <c r="BB19" s="113"/>
      <c r="BC19" s="112">
        <f>AL19+AM19+AN19+AO19+AI19</f>
        <v>163.078839783405</v>
      </c>
      <c r="BD19" s="112">
        <f>AJ19+AP19+AQ19</f>
        <v>112.8075</v>
      </c>
      <c r="BE19" s="96">
        <f>ABS(BC19-BD19)/(BC19+BD19)*100</f>
        <v>18.22175749001288</v>
      </c>
      <c r="BF19" s="114">
        <f>(('[1]setup'!$B$13*'[1]setup'!$B$14*'[1]setup'!$B$15)/10^(-R19))*10^6</f>
        <v>17.94708020122795</v>
      </c>
      <c r="BG19" s="115">
        <f aca="true" t="shared" si="26" ref="BG19:BG31">((10^-(0.96+0.9*R19-0.039*R19^2))*Y19*10)/((10^-(0.96+0.9*R19-0.039*R19^2))+10^(-R19))</f>
        <v>23.226229953912377</v>
      </c>
      <c r="BH19" s="114">
        <f aca="true" t="shared" si="27" ref="BH19:BH31">(AM19+AN19+AO19+AL19+AI19)-(AP19+AQ19+AJ19)</f>
        <v>50.271339783405</v>
      </c>
      <c r="BI19" s="114">
        <f aca="true" t="shared" si="28" ref="BI19:BI31">(AM19+AN19+AO19+AL19+AI19)+((10^-R19)*10^6)</f>
        <v>163.7395332314126</v>
      </c>
      <c r="BJ19" s="114">
        <f>(AP19+AQ19+AJ19+BG19+BF19)</f>
        <v>153.98081015514032</v>
      </c>
      <c r="BK19" s="18">
        <f aca="true" t="shared" si="29" ref="BK19:BK31">ABS(BI19-BJ19)/(BI19+BJ19)*100</f>
        <v>3.0714819744480044</v>
      </c>
      <c r="BL19" s="96"/>
      <c r="BM19" s="112">
        <f>(3*('[1]setup'!$D$19*(10^-R19)^3)+2*('[1]setup'!$D$20*'[1]setup'!$D$19*((10^-R19)^2))+('[1]setup'!$D$21*'[1]setup'!$D$19*10^-R19)+('[1]setup'!$D$19*'[1]setup'!$D$22*(AP19/(10^6*2))*(10^-R19)^3))*10^6</f>
        <v>0.0009481498289389671</v>
      </c>
      <c r="BN19" s="103">
        <f>(AM19+AN19+AO19+AL19+AI19+(10^-R19)*10^6+BM19)-(AP19+AQ19+AJ19+BF19)</f>
        <v>32.98590118001357</v>
      </c>
      <c r="BO19" s="114">
        <f>(BN19/((('[1]setup'!$C$26)/10^-R19)+2*(('[1]setup'!$C$26*'[1]setup'!$C$27)/(10^-R19^2))+3*(('[1]setup'!$C$26*'[1]setup'!$C$27*'[1]setup'!$C$28)/(10^-R19^3))))/(10^-R19^3/(10^-R19^3+'[1]setup'!$C$26*10^-R19^2+'[1]setup'!$C$26*'[1]setup'!$C$27*10^-R19+'[1]setup'!$C$26*'[1]setup'!$C$27*'[1]setup'!$C$28))</f>
        <v>14.184008221879811</v>
      </c>
      <c r="BP19" s="113"/>
      <c r="BQ19" s="111">
        <f t="shared" si="0"/>
        <v>163.078839783405</v>
      </c>
      <c r="BR19" s="111">
        <f t="shared" si="1"/>
        <v>112.8075</v>
      </c>
      <c r="BS19" s="111">
        <f t="shared" si="2"/>
        <v>1.44563827567675</v>
      </c>
      <c r="BT19" s="111">
        <f t="shared" si="3"/>
        <v>49.55705406911926</v>
      </c>
      <c r="BU19" s="111">
        <f t="shared" si="4"/>
        <v>1.4486764882021799</v>
      </c>
    </row>
    <row r="20" spans="1:73" ht="12.75">
      <c r="A20" s="29">
        <v>38530</v>
      </c>
      <c r="B20" t="s">
        <v>37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01"/>
      <c r="Y20" s="61"/>
      <c r="Z20" s="61"/>
      <c r="AA20" s="61"/>
      <c r="AB20" s="61"/>
      <c r="AC20" s="61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03"/>
      <c r="AS20" s="112"/>
      <c r="AT20" s="112"/>
      <c r="AU20" s="112"/>
      <c r="AV20" s="112"/>
      <c r="AW20" s="103"/>
      <c r="AX20" s="103"/>
      <c r="AY20" s="103"/>
      <c r="AZ20" s="103"/>
      <c r="BA20" s="113"/>
      <c r="BB20" s="113"/>
      <c r="BC20" s="112"/>
      <c r="BD20" s="112"/>
      <c r="BE20" s="96"/>
      <c r="BF20" s="114"/>
      <c r="BG20" s="115"/>
      <c r="BH20" s="114"/>
      <c r="BI20" s="114"/>
      <c r="BJ20" s="114"/>
      <c r="BK20" s="18"/>
      <c r="BL20" s="96"/>
      <c r="BM20" s="112"/>
      <c r="BN20" s="103"/>
      <c r="BO20" s="114"/>
      <c r="BP20" s="113"/>
      <c r="BQ20" s="111"/>
      <c r="BR20" s="111"/>
      <c r="BS20" s="111"/>
      <c r="BT20" s="111"/>
      <c r="BU20" s="111"/>
    </row>
    <row r="21" spans="1:73" ht="12.75">
      <c r="A21" s="29">
        <v>38540</v>
      </c>
      <c r="B21" t="s">
        <v>37</v>
      </c>
      <c r="C21">
        <v>833232</v>
      </c>
      <c r="E21" s="61">
        <v>0.006</v>
      </c>
      <c r="F21" s="61">
        <v>0.002</v>
      </c>
      <c r="G21" s="61">
        <v>0.02</v>
      </c>
      <c r="H21" s="61">
        <v>3.053</v>
      </c>
      <c r="I21" s="61">
        <v>0.0483</v>
      </c>
      <c r="J21" s="61">
        <v>0.07877</v>
      </c>
      <c r="K21" s="61">
        <v>0.0078</v>
      </c>
      <c r="L21" s="61">
        <v>0.2681</v>
      </c>
      <c r="M21" s="61">
        <v>0.5976</v>
      </c>
      <c r="N21" s="61">
        <v>0.3033</v>
      </c>
      <c r="O21" s="61">
        <v>2.756</v>
      </c>
      <c r="P21" s="61">
        <v>0.7251</v>
      </c>
      <c r="Q21" s="61">
        <v>2.94</v>
      </c>
      <c r="R21" s="61">
        <v>6.37</v>
      </c>
      <c r="S21" s="61">
        <v>22.1</v>
      </c>
      <c r="T21" s="61">
        <v>24.456</v>
      </c>
      <c r="U21" s="61">
        <v>0.05</v>
      </c>
      <c r="V21" s="61">
        <v>0.852</v>
      </c>
      <c r="W21" s="61">
        <v>0.002</v>
      </c>
      <c r="X21" s="101">
        <v>0.002</v>
      </c>
      <c r="Y21" s="61">
        <v>0.5</v>
      </c>
      <c r="Z21" s="61">
        <v>0.1371</v>
      </c>
      <c r="AA21" s="61">
        <v>0.010029999999999983</v>
      </c>
      <c r="AB21" s="61"/>
      <c r="AC21" s="61">
        <v>0.169</v>
      </c>
      <c r="AE21" s="112">
        <f t="shared" si="5"/>
        <v>0.2142857142857143</v>
      </c>
      <c r="AF21" s="112">
        <f t="shared" si="6"/>
        <v>0.07272727272727272</v>
      </c>
      <c r="AG21" s="112">
        <f t="shared" si="7"/>
        <v>2.2222222222222223</v>
      </c>
      <c r="AH21" s="112">
        <f t="shared" si="8"/>
        <v>436.1428571428571</v>
      </c>
      <c r="AI21" s="112">
        <f t="shared" si="9"/>
        <v>3.45</v>
      </c>
      <c r="AJ21" s="112">
        <f t="shared" si="10"/>
        <v>5.626428571428572</v>
      </c>
      <c r="AK21" s="112">
        <f t="shared" si="11"/>
        <v>0.7548387096774194</v>
      </c>
      <c r="AL21" s="112">
        <f t="shared" si="12"/>
        <v>6.874358974358974</v>
      </c>
      <c r="AM21" s="112">
        <f t="shared" si="13"/>
        <v>29.88</v>
      </c>
      <c r="AN21" s="112">
        <f t="shared" si="14"/>
        <v>25.275000000000002</v>
      </c>
      <c r="AO21" s="112">
        <f t="shared" si="15"/>
        <v>119.82608695652173</v>
      </c>
      <c r="AP21" s="112">
        <f t="shared" si="16"/>
        <v>45.31875</v>
      </c>
      <c r="AQ21" s="112">
        <f t="shared" si="17"/>
        <v>84</v>
      </c>
      <c r="AR21" s="103">
        <f t="shared" si="23"/>
        <v>0.4265795188015925</v>
      </c>
      <c r="AS21" s="112">
        <f t="shared" si="18"/>
        <v>4.838709677419355</v>
      </c>
      <c r="AT21" s="112">
        <f t="shared" si="19"/>
        <v>53.25</v>
      </c>
      <c r="AU21" s="112">
        <f t="shared" si="20"/>
        <v>0.06349206349206349</v>
      </c>
      <c r="AV21" s="112">
        <f t="shared" si="21"/>
        <v>0.061538461538461535</v>
      </c>
      <c r="AW21" s="103">
        <f t="shared" si="24"/>
        <v>9.792857142857143</v>
      </c>
      <c r="AX21" s="103">
        <f aca="true" t="shared" si="30" ref="AX21:AX28">AW21-(AI21+AJ21)</f>
        <v>0.7164285714285707</v>
      </c>
      <c r="AY21" s="103">
        <f>$AC21/14*1*1000</f>
        <v>12.071428571428571</v>
      </c>
      <c r="AZ21" s="103">
        <f t="shared" si="25"/>
        <v>9.076428571428572</v>
      </c>
      <c r="BA21" s="113"/>
      <c r="BB21" s="113"/>
      <c r="BC21" s="112">
        <f aca="true" t="shared" si="31" ref="BC21:BC31">AL21+AM21+AN21+AO21+AI21</f>
        <v>185.3054459308807</v>
      </c>
      <c r="BD21" s="112">
        <f aca="true" t="shared" si="32" ref="BD21:BD31">AJ21+AP21+AQ21</f>
        <v>134.94517857142858</v>
      </c>
      <c r="BE21" s="96">
        <f aca="true" t="shared" si="33" ref="BE21:BE31">ABS(BC21-BD21)/(BC21+BD21)*100</f>
        <v>15.725267495641987</v>
      </c>
      <c r="BF21" s="114">
        <f>(('[1]setup'!$B$13*'[1]setup'!$B$14*'[1]setup'!$B$15)/10^(-R21))*10^6</f>
        <v>27.796736076617005</v>
      </c>
      <c r="BG21" s="115">
        <f t="shared" si="26"/>
        <v>4.739257852363096</v>
      </c>
      <c r="BH21" s="114">
        <f t="shared" si="27"/>
        <v>50.36026735945214</v>
      </c>
      <c r="BI21" s="114">
        <f t="shared" si="28"/>
        <v>185.73202544968228</v>
      </c>
      <c r="BJ21" s="114">
        <f aca="true" t="shared" si="34" ref="BJ21:BJ31">(AP21+AQ21+AJ21+BG21+BF21)</f>
        <v>167.48117250040866</v>
      </c>
      <c r="BK21" s="18">
        <f t="shared" si="29"/>
        <v>5.167092581815832</v>
      </c>
      <c r="BL21" s="96"/>
      <c r="BM21" s="112">
        <f>(3*('[1]setup'!$D$19*(10^-R21)^3)+2*('[1]setup'!$D$20*'[1]setup'!$D$19*((10^-R21)^2))+('[1]setup'!$D$21*'[1]setup'!$D$19*10^-R21)+('[1]setup'!$D$19*'[1]setup'!$D$22*(AP21/(10^6*2))*(10^-R21)^3))*10^6</f>
        <v>0.0005150320241173413</v>
      </c>
      <c r="BN21" s="103">
        <f aca="true" t="shared" si="35" ref="BN21:BN31">(AM21+AN21+AO21+AL21+AI21+(10^-R21)*10^6+BM21)-(AP21+AQ21+AJ21+BF21)</f>
        <v>22.99062583366083</v>
      </c>
      <c r="BO21" s="114">
        <f>(BN21/((('[1]setup'!$C$26)/10^-R21)+2*(('[1]setup'!$C$26*'[1]setup'!$C$27)/(10^-R21^2))+3*(('[1]setup'!$C$26*'[1]setup'!$C$27*'[1]setup'!$C$28)/(10^-R21^3))))/(10^-R21^3/(10^-R21^3+'[1]setup'!$C$26*10^-R21^2+'[1]setup'!$C$26*'[1]setup'!$C$27*10^-R21+'[1]setup'!$C$26*'[1]setup'!$C$27*'[1]setup'!$C$28))</f>
        <v>9.432351591461567</v>
      </c>
      <c r="BP21" s="113"/>
      <c r="BQ21" s="111">
        <f t="shared" si="0"/>
        <v>185.3054459308807</v>
      </c>
      <c r="BR21" s="111">
        <f t="shared" si="1"/>
        <v>134.94517857142858</v>
      </c>
      <c r="BS21" s="111">
        <f t="shared" si="2"/>
        <v>1.3731905644394373</v>
      </c>
      <c r="BT21" s="111">
        <f t="shared" si="3"/>
        <v>46.91026735945212</v>
      </c>
      <c r="BU21" s="111">
        <f t="shared" si="4"/>
        <v>1.4265010351966874</v>
      </c>
    </row>
    <row r="22" spans="1:73" ht="12.75">
      <c r="A22" s="29">
        <v>38559</v>
      </c>
      <c r="B22" t="s">
        <v>37</v>
      </c>
      <c r="C22">
        <v>835350</v>
      </c>
      <c r="E22" s="61">
        <v>0.006</v>
      </c>
      <c r="F22" s="61">
        <v>0.002</v>
      </c>
      <c r="G22" s="61">
        <v>0.02</v>
      </c>
      <c r="H22" s="61">
        <v>2.888</v>
      </c>
      <c r="I22" s="61">
        <v>0.0476</v>
      </c>
      <c r="J22" s="61">
        <v>0.0808</v>
      </c>
      <c r="K22" s="61">
        <v>0.005</v>
      </c>
      <c r="L22" s="61">
        <v>0.3485</v>
      </c>
      <c r="M22" s="61">
        <v>0.4609</v>
      </c>
      <c r="N22" s="61">
        <v>0.2899</v>
      </c>
      <c r="O22" s="61">
        <v>2.788</v>
      </c>
      <c r="P22" s="61">
        <v>0.7339</v>
      </c>
      <c r="Q22" s="61">
        <v>2.822</v>
      </c>
      <c r="R22" s="61">
        <v>6.4</v>
      </c>
      <c r="S22" s="61">
        <v>20.9</v>
      </c>
      <c r="T22" s="61">
        <v>23.996</v>
      </c>
      <c r="U22" s="61">
        <v>0.05</v>
      </c>
      <c r="V22" s="61">
        <v>0.7875</v>
      </c>
      <c r="W22" s="61">
        <v>0.002</v>
      </c>
      <c r="X22" s="101">
        <v>0.0047</v>
      </c>
      <c r="Y22" s="61">
        <v>0.5</v>
      </c>
      <c r="Z22" s="61">
        <v>0.4931</v>
      </c>
      <c r="AA22" s="61">
        <v>0.36469999999999997</v>
      </c>
      <c r="AB22" s="61"/>
      <c r="AC22" s="61">
        <v>0.4165</v>
      </c>
      <c r="AE22" s="112">
        <f t="shared" si="5"/>
        <v>0.2142857142857143</v>
      </c>
      <c r="AF22" s="112">
        <f t="shared" si="6"/>
        <v>0.07272727272727272</v>
      </c>
      <c r="AG22" s="112">
        <f t="shared" si="7"/>
        <v>2.2222222222222223</v>
      </c>
      <c r="AH22" s="112">
        <f t="shared" si="8"/>
        <v>412.57142857142856</v>
      </c>
      <c r="AI22" s="112">
        <f t="shared" si="9"/>
        <v>3.4000000000000004</v>
      </c>
      <c r="AJ22" s="112">
        <f t="shared" si="10"/>
        <v>5.771428571428571</v>
      </c>
      <c r="AK22" s="112">
        <f t="shared" si="11"/>
        <v>0.4838709677419355</v>
      </c>
      <c r="AL22" s="112">
        <f t="shared" si="12"/>
        <v>8.935897435897436</v>
      </c>
      <c r="AM22" s="112">
        <f t="shared" si="13"/>
        <v>23.044999999999998</v>
      </c>
      <c r="AN22" s="112">
        <f t="shared" si="14"/>
        <v>24.158333333333335</v>
      </c>
      <c r="AO22" s="112">
        <f t="shared" si="15"/>
        <v>121.21739130434781</v>
      </c>
      <c r="AP22" s="112">
        <f t="shared" si="16"/>
        <v>45.86875</v>
      </c>
      <c r="AQ22" s="112">
        <f t="shared" si="17"/>
        <v>80.62857142857142</v>
      </c>
      <c r="AR22" s="103">
        <f t="shared" si="23"/>
        <v>0.39810717055349687</v>
      </c>
      <c r="AS22" s="112">
        <f t="shared" si="18"/>
        <v>4.838709677419355</v>
      </c>
      <c r="AT22" s="112">
        <f t="shared" si="19"/>
        <v>49.21875</v>
      </c>
      <c r="AU22" s="112">
        <f t="shared" si="20"/>
        <v>0.06349206349206349</v>
      </c>
      <c r="AV22" s="112">
        <f t="shared" si="21"/>
        <v>0.14461538461538462</v>
      </c>
      <c r="AW22" s="103">
        <f t="shared" si="24"/>
        <v>35.22142857142857</v>
      </c>
      <c r="AX22" s="103">
        <f t="shared" si="30"/>
        <v>26.049999999999997</v>
      </c>
      <c r="AY22" s="103">
        <f>$AC22/14*1*1000</f>
        <v>29.75</v>
      </c>
      <c r="AZ22" s="103">
        <f t="shared" si="25"/>
        <v>9.17142857142857</v>
      </c>
      <c r="BA22" s="113"/>
      <c r="BB22" s="113"/>
      <c r="BC22" s="112">
        <f t="shared" si="31"/>
        <v>180.7566220735786</v>
      </c>
      <c r="BD22" s="112">
        <f t="shared" si="32"/>
        <v>132.26874999999998</v>
      </c>
      <c r="BE22" s="96">
        <f t="shared" si="33"/>
        <v>15.490077290661677</v>
      </c>
      <c r="BF22" s="114">
        <f>(('[1]setup'!$B$13*'[1]setup'!$B$14*'[1]setup'!$B$15)/10^(-R22))*10^6</f>
        <v>29.784739328689806</v>
      </c>
      <c r="BG22" s="115">
        <f t="shared" si="26"/>
        <v>4.7492806604332936</v>
      </c>
      <c r="BH22" s="114">
        <f t="shared" si="27"/>
        <v>48.487872073578586</v>
      </c>
      <c r="BI22" s="114">
        <f t="shared" si="28"/>
        <v>181.15472924413206</v>
      </c>
      <c r="BJ22" s="114">
        <f t="shared" si="34"/>
        <v>166.80276998912308</v>
      </c>
      <c r="BK22" s="18">
        <f t="shared" si="29"/>
        <v>4.124629958151316</v>
      </c>
      <c r="BL22" s="96"/>
      <c r="BM22" s="112">
        <f>(3*('[1]setup'!$D$19*(10^-R22)^3)+2*('[1]setup'!$D$20*'[1]setup'!$D$19*((10^-R22)^2))+('[1]setup'!$D$21*'[1]setup'!$D$19*10^-R22)+('[1]setup'!$D$19*'[1]setup'!$D$22*(AP22/(10^6*2))*(10^-R22)^3))*10^6</f>
        <v>0.0004705224914488313</v>
      </c>
      <c r="BN22" s="103">
        <f t="shared" si="35"/>
        <v>19.10171043793372</v>
      </c>
      <c r="BO22" s="114">
        <f>(BN22/((('[1]setup'!$C$26)/10^-R22)+2*(('[1]setup'!$C$26*'[1]setup'!$C$27)/(10^-R22^2))+3*(('[1]setup'!$C$26*'[1]setup'!$C$27*'[1]setup'!$C$28)/(10^-R22^3))))/(10^-R22^3/(10^-R22^3+'[1]setup'!$C$26*10^-R22^2+'[1]setup'!$C$26*'[1]setup'!$C$27*10^-R22+'[1]setup'!$C$26*'[1]setup'!$C$27*'[1]setup'!$C$28))</f>
        <v>7.779194479856477</v>
      </c>
      <c r="BP22" s="113"/>
      <c r="BQ22" s="111">
        <f t="shared" si="0"/>
        <v>180.75662207357857</v>
      </c>
      <c r="BR22" s="111">
        <f t="shared" si="1"/>
        <v>132.26874999999998</v>
      </c>
      <c r="BS22" s="111">
        <f t="shared" si="2"/>
        <v>1.3665860006507855</v>
      </c>
      <c r="BT22" s="111">
        <f t="shared" si="3"/>
        <v>45.08787207357861</v>
      </c>
      <c r="BU22" s="111">
        <f t="shared" si="4"/>
        <v>1.5034049240440022</v>
      </c>
    </row>
    <row r="23" spans="1:73" ht="12.75">
      <c r="A23" s="29">
        <v>38587</v>
      </c>
      <c r="B23" t="s">
        <v>37</v>
      </c>
      <c r="C23">
        <v>837301</v>
      </c>
      <c r="E23" s="61">
        <v>0.006</v>
      </c>
      <c r="F23" s="61">
        <v>0.002</v>
      </c>
      <c r="G23" s="61">
        <v>0.02</v>
      </c>
      <c r="H23" s="61">
        <v>3.201</v>
      </c>
      <c r="I23" s="61">
        <v>0.0645</v>
      </c>
      <c r="J23" s="61">
        <v>0.05231</v>
      </c>
      <c r="K23" s="61">
        <v>0.005</v>
      </c>
      <c r="L23" s="61">
        <v>0.197</v>
      </c>
      <c r="M23" s="61">
        <v>0.5039</v>
      </c>
      <c r="N23" s="61">
        <v>0.3642</v>
      </c>
      <c r="O23" s="61">
        <v>2.777</v>
      </c>
      <c r="P23" s="61">
        <v>0.6541</v>
      </c>
      <c r="Q23" s="61">
        <v>2.416</v>
      </c>
      <c r="R23" s="61">
        <v>6.37</v>
      </c>
      <c r="S23" s="61">
        <v>20.4</v>
      </c>
      <c r="T23" s="61">
        <v>24.149</v>
      </c>
      <c r="U23" s="61">
        <v>0.05</v>
      </c>
      <c r="V23" s="61">
        <v>0.7348</v>
      </c>
      <c r="W23" s="61">
        <v>0.002</v>
      </c>
      <c r="X23" s="101">
        <v>0.002</v>
      </c>
      <c r="Y23" s="61">
        <v>1</v>
      </c>
      <c r="Z23" s="61">
        <v>0.256</v>
      </c>
      <c r="AA23" s="61">
        <v>0.13919</v>
      </c>
      <c r="AB23" s="61"/>
      <c r="AC23" s="61">
        <v>0.2608</v>
      </c>
      <c r="AE23" s="112">
        <f t="shared" si="5"/>
        <v>0.2142857142857143</v>
      </c>
      <c r="AF23" s="112">
        <f t="shared" si="6"/>
        <v>0.07272727272727272</v>
      </c>
      <c r="AG23" s="112">
        <f t="shared" si="7"/>
        <v>2.2222222222222223</v>
      </c>
      <c r="AH23" s="112">
        <f t="shared" si="8"/>
        <v>457.2857142857143</v>
      </c>
      <c r="AI23" s="112">
        <f t="shared" si="9"/>
        <v>4.607142857142858</v>
      </c>
      <c r="AJ23" s="112">
        <f t="shared" si="10"/>
        <v>3.7364285714285717</v>
      </c>
      <c r="AK23" s="112">
        <f t="shared" si="11"/>
        <v>0.4838709677419355</v>
      </c>
      <c r="AL23" s="112">
        <f t="shared" si="12"/>
        <v>5.051282051282051</v>
      </c>
      <c r="AM23" s="112">
        <f t="shared" si="13"/>
        <v>25.195000000000004</v>
      </c>
      <c r="AN23" s="112">
        <f t="shared" si="14"/>
        <v>30.35</v>
      </c>
      <c r="AO23" s="112">
        <f t="shared" si="15"/>
        <v>120.73913043478261</v>
      </c>
      <c r="AP23" s="112">
        <f t="shared" si="16"/>
        <v>40.88125</v>
      </c>
      <c r="AQ23" s="112">
        <f t="shared" si="17"/>
        <v>69.02857142857142</v>
      </c>
      <c r="AR23" s="103">
        <f t="shared" si="23"/>
        <v>0.4265795188015925</v>
      </c>
      <c r="AS23" s="112">
        <f t="shared" si="18"/>
        <v>4.838709677419355</v>
      </c>
      <c r="AT23" s="112">
        <f t="shared" si="19"/>
        <v>45.925</v>
      </c>
      <c r="AU23" s="112">
        <f t="shared" si="20"/>
        <v>0.06349206349206349</v>
      </c>
      <c r="AV23" s="112">
        <f t="shared" si="21"/>
        <v>0.061538461538461535</v>
      </c>
      <c r="AW23" s="103">
        <f t="shared" si="24"/>
        <v>18.28571428571429</v>
      </c>
      <c r="AX23" s="103">
        <f t="shared" si="30"/>
        <v>9.942142857142859</v>
      </c>
      <c r="AY23" s="103">
        <f>$AC23/14*1*1000</f>
        <v>18.62857142857143</v>
      </c>
      <c r="AZ23" s="103">
        <f t="shared" si="25"/>
        <v>8.34357142857143</v>
      </c>
      <c r="BA23" s="113"/>
      <c r="BB23" s="113"/>
      <c r="BC23" s="112">
        <f t="shared" si="31"/>
        <v>185.94255534320754</v>
      </c>
      <c r="BD23" s="112">
        <f t="shared" si="32"/>
        <v>113.64625</v>
      </c>
      <c r="BE23" s="96">
        <f t="shared" si="33"/>
        <v>24.131844733111855</v>
      </c>
      <c r="BF23" s="114">
        <f>(('[1]setup'!$B$13*'[1]setup'!$B$14*'[1]setup'!$B$15)/10^(-R23))*10^6</f>
        <v>27.796736076617005</v>
      </c>
      <c r="BG23" s="115">
        <f t="shared" si="26"/>
        <v>9.478515704726192</v>
      </c>
      <c r="BH23" s="114">
        <f t="shared" si="27"/>
        <v>72.29630534320751</v>
      </c>
      <c r="BI23" s="114">
        <f t="shared" si="28"/>
        <v>186.3691348620091</v>
      </c>
      <c r="BJ23" s="114">
        <f t="shared" si="34"/>
        <v>150.9215017813432</v>
      </c>
      <c r="BK23" s="18">
        <f t="shared" si="29"/>
        <v>10.509521827653895</v>
      </c>
      <c r="BL23" s="96"/>
      <c r="BM23" s="112">
        <f>(3*('[1]setup'!$D$19*(10^-R23)^3)+2*('[1]setup'!$D$20*'[1]setup'!$D$19*((10^-R23)^2))+('[1]setup'!$D$21*'[1]setup'!$D$19*10^-R23)+('[1]setup'!$D$19*'[1]setup'!$D$22*(AP23/(10^6*2))*(10^-R23)^3))*10^6</f>
        <v>0.0005150177178838424</v>
      </c>
      <c r="BN23" s="103">
        <f t="shared" si="35"/>
        <v>44.92666380310996</v>
      </c>
      <c r="BO23" s="114">
        <f>(BN23/((('[1]setup'!$C$26)/10^-R23)+2*(('[1]setup'!$C$26*'[1]setup'!$C$27)/(10^-R23^2))+3*(('[1]setup'!$C$26*'[1]setup'!$C$27*'[1]setup'!$C$28)/(10^-R23^3))))/(10^-R23^3/(10^-R23^3+'[1]setup'!$C$26*10^-R23^2+'[1]setup'!$C$26*'[1]setup'!$C$27*10^-R23+'[1]setup'!$C$26*'[1]setup'!$C$27*'[1]setup'!$C$28))</f>
        <v>18.432037991844716</v>
      </c>
      <c r="BP23" s="113"/>
      <c r="BQ23" s="111">
        <f t="shared" si="0"/>
        <v>185.94255534320752</v>
      </c>
      <c r="BR23" s="111">
        <f t="shared" si="1"/>
        <v>113.64625</v>
      </c>
      <c r="BS23" s="111">
        <f t="shared" si="2"/>
        <v>1.6361521417838911</v>
      </c>
      <c r="BT23" s="111">
        <f t="shared" si="3"/>
        <v>67.68916248606469</v>
      </c>
      <c r="BU23" s="111">
        <f t="shared" si="4"/>
        <v>1.7491181975237549</v>
      </c>
    </row>
    <row r="24" spans="1:73" ht="12.75">
      <c r="A24" s="29">
        <v>38601</v>
      </c>
      <c r="B24" t="s">
        <v>37</v>
      </c>
      <c r="C24">
        <v>838556</v>
      </c>
      <c r="E24" s="61">
        <v>0.0099</v>
      </c>
      <c r="F24" s="61">
        <v>0.002</v>
      </c>
      <c r="G24" s="61">
        <v>0.02</v>
      </c>
      <c r="H24" s="61">
        <v>2.968</v>
      </c>
      <c r="I24" s="61">
        <v>0.01</v>
      </c>
      <c r="J24" s="61">
        <v>0.08211</v>
      </c>
      <c r="K24" s="61">
        <v>0.005</v>
      </c>
      <c r="L24" s="61">
        <v>0.1619</v>
      </c>
      <c r="M24" s="61">
        <v>0.4727</v>
      </c>
      <c r="N24" s="61">
        <v>0.3394</v>
      </c>
      <c r="O24" s="61">
        <v>2.747</v>
      </c>
      <c r="P24" s="61">
        <v>0.7117</v>
      </c>
      <c r="Q24" s="61">
        <v>2.246</v>
      </c>
      <c r="R24" s="61">
        <v>6.36</v>
      </c>
      <c r="S24" s="61">
        <v>21.7</v>
      </c>
      <c r="T24" s="61">
        <v>23.416</v>
      </c>
      <c r="U24" s="61">
        <v>0.05</v>
      </c>
      <c r="V24" s="61">
        <v>0.7299</v>
      </c>
      <c r="W24" s="61">
        <v>0.002</v>
      </c>
      <c r="X24" s="101">
        <v>0.0047</v>
      </c>
      <c r="Y24" s="61">
        <v>0.6163</v>
      </c>
      <c r="Z24" s="61">
        <v>0.1586</v>
      </c>
      <c r="AA24" s="61">
        <v>0.06649</v>
      </c>
      <c r="AB24" s="61"/>
      <c r="AC24" s="61">
        <v>0.09705</v>
      </c>
      <c r="AE24" s="112">
        <f t="shared" si="5"/>
        <v>0.35357142857142865</v>
      </c>
      <c r="AF24" s="112">
        <f t="shared" si="6"/>
        <v>0.07272727272727272</v>
      </c>
      <c r="AG24" s="112">
        <f t="shared" si="7"/>
        <v>2.2222222222222223</v>
      </c>
      <c r="AH24" s="112">
        <f t="shared" si="8"/>
        <v>424</v>
      </c>
      <c r="AI24" s="112">
        <f t="shared" si="9"/>
        <v>0.7142857142857143</v>
      </c>
      <c r="AJ24" s="112">
        <f t="shared" si="10"/>
        <v>5.865</v>
      </c>
      <c r="AK24" s="112">
        <f t="shared" si="11"/>
        <v>0.4838709677419355</v>
      </c>
      <c r="AL24" s="112">
        <f t="shared" si="12"/>
        <v>4.151282051282051</v>
      </c>
      <c r="AM24" s="112">
        <f t="shared" si="13"/>
        <v>23.634999999999998</v>
      </c>
      <c r="AN24" s="112">
        <f t="shared" si="14"/>
        <v>28.28333333333333</v>
      </c>
      <c r="AO24" s="112">
        <f t="shared" si="15"/>
        <v>119.43478260869566</v>
      </c>
      <c r="AP24" s="112">
        <f t="shared" si="16"/>
        <v>44.48125</v>
      </c>
      <c r="AQ24" s="112">
        <f t="shared" si="17"/>
        <v>64.17142857142858</v>
      </c>
      <c r="AR24" s="103">
        <f t="shared" si="23"/>
        <v>0.4365158322401656</v>
      </c>
      <c r="AS24" s="112">
        <f t="shared" si="18"/>
        <v>4.838709677419355</v>
      </c>
      <c r="AT24" s="112">
        <f t="shared" si="19"/>
        <v>45.61875</v>
      </c>
      <c r="AU24" s="112">
        <f t="shared" si="20"/>
        <v>0.06349206349206349</v>
      </c>
      <c r="AV24" s="112">
        <f t="shared" si="21"/>
        <v>0.14461538461538462</v>
      </c>
      <c r="AW24" s="103">
        <f t="shared" si="24"/>
        <v>11.328571428571427</v>
      </c>
      <c r="AX24" s="103">
        <f t="shared" si="30"/>
        <v>4.749285714285713</v>
      </c>
      <c r="AY24" s="103">
        <f>$AC24/14*1*1000</f>
        <v>6.932142857142857</v>
      </c>
      <c r="AZ24" s="103">
        <f t="shared" si="25"/>
        <v>6.579285714285715</v>
      </c>
      <c r="BA24" s="113"/>
      <c r="BB24" s="113"/>
      <c r="BC24" s="112">
        <f t="shared" si="31"/>
        <v>176.21868370759677</v>
      </c>
      <c r="BD24" s="112">
        <f t="shared" si="32"/>
        <v>114.51767857142858</v>
      </c>
      <c r="BE24" s="96">
        <f t="shared" si="33"/>
        <v>21.222321367890178</v>
      </c>
      <c r="BF24" s="114">
        <f>(('[1]setup'!$B$13*'[1]setup'!$B$14*'[1]setup'!$B$15)/10^(-R24))*10^6</f>
        <v>27.164005115155334</v>
      </c>
      <c r="BG24" s="115">
        <f t="shared" si="26"/>
        <v>5.837399533058507</v>
      </c>
      <c r="BH24" s="114">
        <f t="shared" si="27"/>
        <v>61.70100513616816</v>
      </c>
      <c r="BI24" s="114">
        <f t="shared" si="28"/>
        <v>176.6551995398369</v>
      </c>
      <c r="BJ24" s="114">
        <f t="shared" si="34"/>
        <v>147.51908321964243</v>
      </c>
      <c r="BK24" s="18">
        <f t="shared" si="29"/>
        <v>8.987793871919191</v>
      </c>
      <c r="BL24" s="96"/>
      <c r="BM24" s="112">
        <f>(3*('[1]setup'!$D$19*(10^-R24)^3)+2*('[1]setup'!$D$20*'[1]setup'!$D$19*((10^-R24)^2))+('[1]setup'!$D$21*'[1]setup'!$D$19*10^-R24)+('[1]setup'!$D$19*'[1]setup'!$D$22*(AP24/(10^6*2))*(10^-R24)^3))*10^6</f>
        <v>0.0005309541433556543</v>
      </c>
      <c r="BN24" s="103">
        <f t="shared" si="35"/>
        <v>34.97404680739635</v>
      </c>
      <c r="BO24" s="114">
        <f>(BN24/((('[1]setup'!$C$26)/10^-R24)+2*(('[1]setup'!$C$26*'[1]setup'!$C$27)/(10^-R24^2))+3*(('[1]setup'!$C$26*'[1]setup'!$C$27*'[1]setup'!$C$28)/(10^-R24^3))))/(10^-R24^3/(10^-R24^3+'[1]setup'!$C$26*10^-R24^2+'[1]setup'!$C$26*'[1]setup'!$C$27*10^-R24+'[1]setup'!$C$26*'[1]setup'!$C$27*'[1]setup'!$C$28))</f>
        <v>14.384260689276152</v>
      </c>
      <c r="BP24" s="113"/>
      <c r="BQ24" s="111">
        <f t="shared" si="0"/>
        <v>176.21868370759677</v>
      </c>
      <c r="BR24" s="111">
        <f t="shared" si="1"/>
        <v>114.51767857142858</v>
      </c>
      <c r="BS24" s="111">
        <f t="shared" si="2"/>
        <v>1.538790219168503</v>
      </c>
      <c r="BT24" s="111">
        <f t="shared" si="3"/>
        <v>60.98671942188247</v>
      </c>
      <c r="BU24" s="111">
        <f t="shared" si="4"/>
        <v>1.8611831662085252</v>
      </c>
    </row>
    <row r="25" spans="1:73" ht="12.75">
      <c r="A25" s="29">
        <v>38615</v>
      </c>
      <c r="B25" t="s">
        <v>37</v>
      </c>
      <c r="C25">
        <v>840764</v>
      </c>
      <c r="E25" s="61">
        <v>0.006</v>
      </c>
      <c r="F25" s="61">
        <v>0.002</v>
      </c>
      <c r="G25" s="61">
        <v>0.02</v>
      </c>
      <c r="H25" s="61">
        <v>3.022</v>
      </c>
      <c r="I25" s="61">
        <v>0.01</v>
      </c>
      <c r="J25" s="61">
        <v>0.0713</v>
      </c>
      <c r="K25" s="61">
        <v>0.005</v>
      </c>
      <c r="L25" s="61">
        <v>0.2171</v>
      </c>
      <c r="M25" s="61">
        <v>0.5612</v>
      </c>
      <c r="N25" s="61">
        <v>0.3331</v>
      </c>
      <c r="O25" s="61">
        <v>2.788</v>
      </c>
      <c r="P25" s="61">
        <v>0.7457</v>
      </c>
      <c r="Q25" s="61">
        <v>2.769</v>
      </c>
      <c r="R25" s="61">
        <v>6.28</v>
      </c>
      <c r="S25" s="61">
        <v>21.7</v>
      </c>
      <c r="T25" s="61">
        <v>24.21</v>
      </c>
      <c r="U25" s="61">
        <v>0.05</v>
      </c>
      <c r="V25" s="61">
        <v>0.7911</v>
      </c>
      <c r="W25" s="61">
        <v>0.003</v>
      </c>
      <c r="X25" s="101">
        <v>0.002</v>
      </c>
      <c r="Y25" s="61">
        <v>1.011</v>
      </c>
      <c r="Z25" s="61">
        <v>0.1206</v>
      </c>
      <c r="AA25" s="61">
        <v>0.0393</v>
      </c>
      <c r="AB25" s="61"/>
      <c r="AC25" s="61"/>
      <c r="AE25" s="112">
        <f t="shared" si="5"/>
        <v>0.2142857142857143</v>
      </c>
      <c r="AF25" s="112">
        <f t="shared" si="6"/>
        <v>0.07272727272727272</v>
      </c>
      <c r="AG25" s="112">
        <f t="shared" si="7"/>
        <v>2.2222222222222223</v>
      </c>
      <c r="AH25" s="112">
        <f t="shared" si="8"/>
        <v>431.71428571428567</v>
      </c>
      <c r="AI25" s="112">
        <f t="shared" si="9"/>
        <v>0.7142857142857143</v>
      </c>
      <c r="AJ25" s="112">
        <f t="shared" si="10"/>
        <v>5.0928571428571425</v>
      </c>
      <c r="AK25" s="112">
        <f t="shared" si="11"/>
        <v>0.4838709677419355</v>
      </c>
      <c r="AL25" s="112">
        <f t="shared" si="12"/>
        <v>5.5666666666666655</v>
      </c>
      <c r="AM25" s="112">
        <f t="shared" si="13"/>
        <v>28.060000000000002</v>
      </c>
      <c r="AN25" s="112">
        <f t="shared" si="14"/>
        <v>27.758333333333333</v>
      </c>
      <c r="AO25" s="112">
        <f t="shared" si="15"/>
        <v>121.21739130434781</v>
      </c>
      <c r="AP25" s="112">
        <f t="shared" si="16"/>
        <v>46.60625</v>
      </c>
      <c r="AQ25" s="112">
        <f t="shared" si="17"/>
        <v>79.11428571428571</v>
      </c>
      <c r="AR25" s="103">
        <f t="shared" si="23"/>
        <v>0.5248074602497723</v>
      </c>
      <c r="AS25" s="112">
        <f t="shared" si="18"/>
        <v>4.838709677419355</v>
      </c>
      <c r="AT25" s="112">
        <f t="shared" si="19"/>
        <v>49.44375</v>
      </c>
      <c r="AU25" s="112">
        <f t="shared" si="20"/>
        <v>0.09523809523809525</v>
      </c>
      <c r="AV25" s="112">
        <f t="shared" si="21"/>
        <v>0.061538461538461535</v>
      </c>
      <c r="AW25" s="103">
        <f t="shared" si="24"/>
        <v>8.614285714285716</v>
      </c>
      <c r="AX25" s="103">
        <f t="shared" si="30"/>
        <v>2.8071428571428587</v>
      </c>
      <c r="AY25" s="103"/>
      <c r="AZ25" s="103">
        <f t="shared" si="25"/>
        <v>5.807142857142857</v>
      </c>
      <c r="BA25" s="113"/>
      <c r="BB25" s="113"/>
      <c r="BC25" s="112">
        <f t="shared" si="31"/>
        <v>183.31667701863353</v>
      </c>
      <c r="BD25" s="112">
        <f t="shared" si="32"/>
        <v>130.81339285714284</v>
      </c>
      <c r="BE25" s="96">
        <f t="shared" si="33"/>
        <v>16.713867660696494</v>
      </c>
      <c r="BF25" s="114">
        <f>(('[1]setup'!$B$13*'[1]setup'!$B$14*'[1]setup'!$B$15)/10^(-R25))*10^6</f>
        <v>22.59403533283386</v>
      </c>
      <c r="BG25" s="115">
        <f t="shared" si="26"/>
        <v>9.517837776674194</v>
      </c>
      <c r="BH25" s="114">
        <f t="shared" si="27"/>
        <v>52.503284161490654</v>
      </c>
      <c r="BI25" s="114">
        <f t="shared" si="28"/>
        <v>183.8414844788833</v>
      </c>
      <c r="BJ25" s="114">
        <f t="shared" si="34"/>
        <v>162.92526596665093</v>
      </c>
      <c r="BK25" s="18">
        <f t="shared" si="29"/>
        <v>6.031783175681843</v>
      </c>
      <c r="BL25" s="96"/>
      <c r="BM25" s="112">
        <f>(3*('[1]setup'!$D$19*(10^-R25)^3)+2*('[1]setup'!$D$20*'[1]setup'!$D$19*((10^-R25)^2))+('[1]setup'!$D$21*'[1]setup'!$D$19*10^-R25)+('[1]setup'!$D$19*'[1]setup'!$D$22*(AP25/(10^6*2))*(10^-R25)^3))*10^6</f>
        <v>0.0006816994400721615</v>
      </c>
      <c r="BN25" s="103">
        <f t="shared" si="35"/>
        <v>30.434737988346626</v>
      </c>
      <c r="BO25" s="114">
        <f>(BN25/((('[1]setup'!$C$26)/10^-R25)+2*(('[1]setup'!$C$26*'[1]setup'!$C$27)/(10^-R25^2))+3*(('[1]setup'!$C$26*'[1]setup'!$C$27*'[1]setup'!$C$28)/(10^-R25^3))))/(10^-R25^3/(10^-R25^3+'[1]setup'!$C$26*10^-R25^2+'[1]setup'!$C$26*'[1]setup'!$C$27*10^-R25+'[1]setup'!$C$26*'[1]setup'!$C$27*'[1]setup'!$C$28))</f>
        <v>12.767972446710138</v>
      </c>
      <c r="BP25" s="113"/>
      <c r="BQ25" s="111">
        <f t="shared" si="0"/>
        <v>183.31667701863353</v>
      </c>
      <c r="BR25" s="111">
        <f t="shared" si="1"/>
        <v>130.81339285714284</v>
      </c>
      <c r="BS25" s="111">
        <f t="shared" si="2"/>
        <v>1.4013601590383629</v>
      </c>
      <c r="BT25" s="111">
        <f t="shared" si="3"/>
        <v>51.78899844720496</v>
      </c>
      <c r="BU25" s="111">
        <f t="shared" si="4"/>
        <v>1.532180821831771</v>
      </c>
    </row>
    <row r="26" spans="1:73" ht="12.75">
      <c r="A26" s="29">
        <v>38643</v>
      </c>
      <c r="B26" t="s">
        <v>37</v>
      </c>
      <c r="C26">
        <v>841589</v>
      </c>
      <c r="E26" s="61">
        <v>0.006</v>
      </c>
      <c r="F26" s="61">
        <v>0.002</v>
      </c>
      <c r="G26" s="61">
        <v>0.02</v>
      </c>
      <c r="H26" s="61">
        <v>3.004</v>
      </c>
      <c r="I26" s="61">
        <v>0.01</v>
      </c>
      <c r="J26" s="61">
        <v>0.1352</v>
      </c>
      <c r="K26" s="61">
        <v>0.005</v>
      </c>
      <c r="L26" s="61">
        <v>0.1353</v>
      </c>
      <c r="M26" s="61">
        <v>0.5829</v>
      </c>
      <c r="N26" s="61">
        <v>0.3241</v>
      </c>
      <c r="O26" s="61">
        <v>2.849</v>
      </c>
      <c r="P26" s="61">
        <v>0.7128</v>
      </c>
      <c r="Q26" s="61">
        <v>2.932</v>
      </c>
      <c r="R26" s="61">
        <v>6.25</v>
      </c>
      <c r="S26" s="61">
        <v>20</v>
      </c>
      <c r="T26" s="61">
        <v>23.977</v>
      </c>
      <c r="U26" s="61">
        <v>0.05</v>
      </c>
      <c r="V26" s="61">
        <v>0.6595</v>
      </c>
      <c r="W26" s="61">
        <v>0.0051</v>
      </c>
      <c r="X26" s="101">
        <v>0.002</v>
      </c>
      <c r="Y26" s="61">
        <v>0.7505185743918538</v>
      </c>
      <c r="Z26" s="61">
        <v>0.1099</v>
      </c>
      <c r="AA26" s="61">
        <v>-0.0353</v>
      </c>
      <c r="AB26" s="61"/>
      <c r="AC26" s="61"/>
      <c r="AE26" s="112">
        <f t="shared" si="5"/>
        <v>0.2142857142857143</v>
      </c>
      <c r="AF26" s="112">
        <f t="shared" si="6"/>
        <v>0.07272727272727272</v>
      </c>
      <c r="AG26" s="112">
        <f t="shared" si="7"/>
        <v>2.2222222222222223</v>
      </c>
      <c r="AH26" s="112">
        <f t="shared" si="8"/>
        <v>429.14285714285717</v>
      </c>
      <c r="AI26" s="112">
        <f t="shared" si="9"/>
        <v>0.7142857142857143</v>
      </c>
      <c r="AJ26" s="112">
        <f t="shared" si="10"/>
        <v>9.657142857142855</v>
      </c>
      <c r="AK26" s="112">
        <f t="shared" si="11"/>
        <v>0.4838709677419355</v>
      </c>
      <c r="AL26" s="112">
        <f t="shared" si="12"/>
        <v>3.4692307692307693</v>
      </c>
      <c r="AM26" s="112">
        <f t="shared" si="13"/>
        <v>29.144999999999996</v>
      </c>
      <c r="AN26" s="112">
        <f t="shared" si="14"/>
        <v>27.008333333333333</v>
      </c>
      <c r="AO26" s="112">
        <f t="shared" si="15"/>
        <v>123.86956521739131</v>
      </c>
      <c r="AP26" s="112">
        <f t="shared" si="16"/>
        <v>44.55</v>
      </c>
      <c r="AQ26" s="112">
        <f t="shared" si="17"/>
        <v>83.77142857142857</v>
      </c>
      <c r="AR26" s="103">
        <f t="shared" si="23"/>
        <v>0.5623413251903491</v>
      </c>
      <c r="AS26" s="112">
        <f t="shared" si="18"/>
        <v>4.838709677419355</v>
      </c>
      <c r="AT26" s="112">
        <f t="shared" si="19"/>
        <v>41.21875</v>
      </c>
      <c r="AU26" s="112">
        <f t="shared" si="20"/>
        <v>0.1619047619047619</v>
      </c>
      <c r="AV26" s="112">
        <f t="shared" si="21"/>
        <v>0.061538461538461535</v>
      </c>
      <c r="AW26" s="103">
        <f t="shared" si="24"/>
        <v>7.85</v>
      </c>
      <c r="AX26" s="103">
        <f t="shared" si="30"/>
        <v>-2.5214285714285687</v>
      </c>
      <c r="AY26" s="103"/>
      <c r="AZ26" s="103">
        <f t="shared" si="25"/>
        <v>10.371428571428568</v>
      </c>
      <c r="BA26" s="113"/>
      <c r="BB26" s="113"/>
      <c r="BC26" s="112">
        <f t="shared" si="31"/>
        <v>184.20641503424113</v>
      </c>
      <c r="BD26" s="112">
        <f t="shared" si="32"/>
        <v>137.97857142857143</v>
      </c>
      <c r="BE26" s="96">
        <f t="shared" si="33"/>
        <v>14.34823022425517</v>
      </c>
      <c r="BF26" s="114">
        <f>(('[1]setup'!$B$13*'[1]setup'!$B$14*'[1]setup'!$B$15)/10^(-R26))*10^6</f>
        <v>21.085980646726345</v>
      </c>
      <c r="BG26" s="115">
        <f t="shared" si="26"/>
        <v>7.048458767788138</v>
      </c>
      <c r="BH26" s="114">
        <f t="shared" si="27"/>
        <v>46.22784360566973</v>
      </c>
      <c r="BI26" s="114">
        <f t="shared" si="28"/>
        <v>184.76875635943148</v>
      </c>
      <c r="BJ26" s="114">
        <f t="shared" si="34"/>
        <v>166.11301084308587</v>
      </c>
      <c r="BK26" s="18">
        <f t="shared" si="29"/>
        <v>5.316818159314081</v>
      </c>
      <c r="BL26" s="96"/>
      <c r="BM26" s="112">
        <f>(3*('[1]setup'!$D$19*(10^-R26)^3)+2*('[1]setup'!$D$20*'[1]setup'!$D$19*((10^-R26)^2))+('[1]setup'!$D$21*'[1]setup'!$D$19*10^-R26)+('[1]setup'!$D$19*'[1]setup'!$D$22*(AP26/(10^6*2))*(10^-R26)^3))*10^6</f>
        <v>0.0007509843848278288</v>
      </c>
      <c r="BN26" s="103">
        <f t="shared" si="35"/>
        <v>25.704955268518574</v>
      </c>
      <c r="BO26" s="114">
        <f>(BN26/((('[1]setup'!$C$26)/10^-R26)+2*(('[1]setup'!$C$26*'[1]setup'!$C$27)/(10^-R26^2))+3*(('[1]setup'!$C$26*'[1]setup'!$C$27*'[1]setup'!$C$28)/(10^-R26^3))))/(10^-R26^3/(10^-R26^3+'[1]setup'!$C$26*10^-R26^2+'[1]setup'!$C$26*'[1]setup'!$C$27*10^-R26+'[1]setup'!$C$26*'[1]setup'!$C$27*'[1]setup'!$C$28))</f>
        <v>10.864203546520313</v>
      </c>
      <c r="BP26" s="113"/>
      <c r="BQ26" s="111">
        <f t="shared" si="0"/>
        <v>184.20641503424113</v>
      </c>
      <c r="BR26" s="111">
        <f t="shared" si="1"/>
        <v>137.97857142857143</v>
      </c>
      <c r="BS26" s="111">
        <f t="shared" si="2"/>
        <v>1.3350363982395692</v>
      </c>
      <c r="BT26" s="111">
        <f t="shared" si="3"/>
        <v>45.51355789138398</v>
      </c>
      <c r="BU26" s="111">
        <f t="shared" si="4"/>
        <v>1.478661249184412</v>
      </c>
    </row>
    <row r="27" spans="1:73" ht="12.75">
      <c r="A27" s="29">
        <v>38657</v>
      </c>
      <c r="B27" t="s">
        <v>37</v>
      </c>
      <c r="C27">
        <v>843484</v>
      </c>
      <c r="E27" s="61">
        <v>0.006</v>
      </c>
      <c r="F27" s="61">
        <v>0.002</v>
      </c>
      <c r="G27" s="61">
        <v>0.0557</v>
      </c>
      <c r="H27" s="61">
        <v>2.899</v>
      </c>
      <c r="I27" s="61">
        <v>0.0617</v>
      </c>
      <c r="J27" s="61">
        <v>0.049</v>
      </c>
      <c r="K27" s="61">
        <v>0.005</v>
      </c>
      <c r="L27" s="61">
        <v>0.197</v>
      </c>
      <c r="M27" s="61">
        <v>0.5002</v>
      </c>
      <c r="N27" s="61">
        <v>0.2945</v>
      </c>
      <c r="O27" s="61">
        <v>2.635</v>
      </c>
      <c r="P27" s="61">
        <v>0.6524</v>
      </c>
      <c r="Q27" s="61">
        <v>2.739</v>
      </c>
      <c r="R27" s="61">
        <v>6.11</v>
      </c>
      <c r="S27" s="61">
        <v>16.5</v>
      </c>
      <c r="T27" s="61">
        <v>23.182</v>
      </c>
      <c r="U27" s="61">
        <v>0.05</v>
      </c>
      <c r="V27" s="61">
        <v>0.6655</v>
      </c>
      <c r="W27" s="61">
        <v>0.002</v>
      </c>
      <c r="X27" s="101">
        <v>0.002</v>
      </c>
      <c r="Y27" s="61">
        <v>1.699</v>
      </c>
      <c r="Z27" s="61">
        <v>0.1541</v>
      </c>
      <c r="AA27" s="61">
        <v>0.043399999999999994</v>
      </c>
      <c r="AB27" s="61"/>
      <c r="AC27" s="61"/>
      <c r="AE27" s="112">
        <f t="shared" si="5"/>
        <v>0.2142857142857143</v>
      </c>
      <c r="AF27" s="112">
        <f t="shared" si="6"/>
        <v>0.07272727272727272</v>
      </c>
      <c r="AG27" s="112">
        <f t="shared" si="7"/>
        <v>6.18888888888889</v>
      </c>
      <c r="AH27" s="112">
        <f t="shared" si="8"/>
        <v>414.14285714285717</v>
      </c>
      <c r="AI27" s="112">
        <f t="shared" si="9"/>
        <v>4.407142857142857</v>
      </c>
      <c r="AJ27" s="112">
        <f t="shared" si="10"/>
        <v>3.5</v>
      </c>
      <c r="AK27" s="112">
        <f t="shared" si="11"/>
        <v>0.4838709677419355</v>
      </c>
      <c r="AL27" s="112">
        <f t="shared" si="12"/>
        <v>5.051282051282051</v>
      </c>
      <c r="AM27" s="112">
        <f t="shared" si="13"/>
        <v>25.009999999999998</v>
      </c>
      <c r="AN27" s="112">
        <f t="shared" si="14"/>
        <v>24.541666666666668</v>
      </c>
      <c r="AO27" s="112">
        <f t="shared" si="15"/>
        <v>114.56521739130433</v>
      </c>
      <c r="AP27" s="112">
        <f t="shared" si="16"/>
        <v>40.775</v>
      </c>
      <c r="AQ27" s="112">
        <f t="shared" si="17"/>
        <v>78.25714285714285</v>
      </c>
      <c r="AR27" s="103">
        <f t="shared" si="23"/>
        <v>0.7762471166286912</v>
      </c>
      <c r="AS27" s="112">
        <f t="shared" si="18"/>
        <v>4.838709677419355</v>
      </c>
      <c r="AT27" s="112">
        <f t="shared" si="19"/>
        <v>41.59375</v>
      </c>
      <c r="AU27" s="112">
        <f t="shared" si="20"/>
        <v>0.06349206349206349</v>
      </c>
      <c r="AV27" s="112">
        <f t="shared" si="21"/>
        <v>0.061538461538461535</v>
      </c>
      <c r="AW27" s="103">
        <f t="shared" si="24"/>
        <v>11.007142857142856</v>
      </c>
      <c r="AX27" s="103">
        <f t="shared" si="30"/>
        <v>3.0999999999999996</v>
      </c>
      <c r="AY27" s="103"/>
      <c r="AZ27" s="103">
        <f t="shared" si="25"/>
        <v>7.907142857142857</v>
      </c>
      <c r="BA27" s="113"/>
      <c r="BB27" s="113"/>
      <c r="BC27" s="112">
        <f t="shared" si="31"/>
        <v>173.57530896639588</v>
      </c>
      <c r="BD27" s="112">
        <f t="shared" si="32"/>
        <v>122.53214285714284</v>
      </c>
      <c r="BE27" s="96">
        <f t="shared" si="33"/>
        <v>17.23805523802607</v>
      </c>
      <c r="BF27" s="114">
        <f>(('[1]setup'!$B$13*'[1]setup'!$B$14*'[1]setup'!$B$15)/10^(-R27))*10^6</f>
        <v>15.275442633933878</v>
      </c>
      <c r="BG27" s="115">
        <f t="shared" si="26"/>
        <v>15.758161832388282</v>
      </c>
      <c r="BH27" s="114">
        <f t="shared" si="27"/>
        <v>51.043166109253036</v>
      </c>
      <c r="BI27" s="114">
        <f t="shared" si="28"/>
        <v>174.35155608302458</v>
      </c>
      <c r="BJ27" s="114">
        <f t="shared" si="34"/>
        <v>153.56574732346502</v>
      </c>
      <c r="BK27" s="18">
        <f t="shared" si="29"/>
        <v>6.3387349626357645</v>
      </c>
      <c r="BL27" s="96"/>
      <c r="BM27" s="112">
        <f>(3*('[1]setup'!$D$19*(10^-R27)^3)+2*('[1]setup'!$D$20*'[1]setup'!$D$19*((10^-R27)^2))+('[1]setup'!$D$21*'[1]setup'!$D$19*10^-R27)+('[1]setup'!$D$19*'[1]setup'!$D$22*(AP27/(10^6*2))*(10^-R27)^3))*10^6</f>
        <v>0.0012107879822123387</v>
      </c>
      <c r="BN27" s="103">
        <f t="shared" si="35"/>
        <v>36.54518137993006</v>
      </c>
      <c r="BO27" s="114">
        <f>(BN27/((('[1]setup'!$C$26)/10^-R27)+2*(('[1]setup'!$C$26*'[1]setup'!$C$27)/(10^-R27^2))+3*(('[1]setup'!$C$26*'[1]setup'!$C$27*'[1]setup'!$C$28)/(10^-R27^3))))/(10^-R27^3/(10^-R27^3+'[1]setup'!$C$26*10^-R27^2+'[1]setup'!$C$26*'[1]setup'!$C$27*10^-R27+'[1]setup'!$C$26*'[1]setup'!$C$27*'[1]setup'!$C$28))</f>
        <v>15.983761530912567</v>
      </c>
      <c r="BP27" s="113"/>
      <c r="BQ27" s="111">
        <f t="shared" si="0"/>
        <v>173.5753089663959</v>
      </c>
      <c r="BR27" s="111">
        <f t="shared" si="1"/>
        <v>122.53214285714284</v>
      </c>
      <c r="BS27" s="111">
        <f t="shared" si="2"/>
        <v>1.4165696030368375</v>
      </c>
      <c r="BT27" s="111">
        <f t="shared" si="3"/>
        <v>46.63602325211019</v>
      </c>
      <c r="BU27" s="111">
        <f t="shared" si="4"/>
        <v>1.4639586012032317</v>
      </c>
    </row>
    <row r="28" spans="1:73" ht="12.75">
      <c r="A28" s="29">
        <v>38671</v>
      </c>
      <c r="B28" t="s">
        <v>37</v>
      </c>
      <c r="C28">
        <v>844735</v>
      </c>
      <c r="E28" s="61">
        <v>0.006</v>
      </c>
      <c r="F28" s="61">
        <v>0.002</v>
      </c>
      <c r="G28" s="61">
        <v>0.02</v>
      </c>
      <c r="H28" s="61">
        <v>2.956</v>
      </c>
      <c r="I28" s="61">
        <v>0.01</v>
      </c>
      <c r="J28" s="61">
        <v>0.0692</v>
      </c>
      <c r="K28" s="61">
        <v>0.005</v>
      </c>
      <c r="L28" s="61">
        <v>0.2195</v>
      </c>
      <c r="M28" s="61">
        <v>0.4714</v>
      </c>
      <c r="N28" s="61">
        <v>0.3374</v>
      </c>
      <c r="O28" s="61">
        <v>2.75</v>
      </c>
      <c r="P28" s="61">
        <v>0.7127</v>
      </c>
      <c r="Q28" s="61">
        <v>4.133</v>
      </c>
      <c r="R28" s="61">
        <v>6.34</v>
      </c>
      <c r="S28" s="61">
        <v>18.4</v>
      </c>
      <c r="T28" s="61">
        <v>23.1</v>
      </c>
      <c r="U28" s="61">
        <v>0.05</v>
      </c>
      <c r="V28" s="61">
        <v>0.7678</v>
      </c>
      <c r="W28" s="61">
        <v>0.002</v>
      </c>
      <c r="X28" s="101">
        <v>0.002</v>
      </c>
      <c r="Y28" s="61">
        <v>0.8363</v>
      </c>
      <c r="Z28" s="61">
        <v>0.2077</v>
      </c>
      <c r="AA28" s="61">
        <v>0.1285</v>
      </c>
      <c r="AB28" s="61"/>
      <c r="AC28" s="61"/>
      <c r="AE28" s="112">
        <f t="shared" si="5"/>
        <v>0.2142857142857143</v>
      </c>
      <c r="AF28" s="112">
        <f t="shared" si="6"/>
        <v>0.07272727272727272</v>
      </c>
      <c r="AG28" s="112">
        <f t="shared" si="7"/>
        <v>2.2222222222222223</v>
      </c>
      <c r="AH28" s="112">
        <f t="shared" si="8"/>
        <v>422.2857142857143</v>
      </c>
      <c r="AI28" s="112">
        <f t="shared" si="9"/>
        <v>0.7142857142857143</v>
      </c>
      <c r="AJ28" s="112">
        <f t="shared" si="10"/>
        <v>4.942857142857143</v>
      </c>
      <c r="AK28" s="112">
        <f t="shared" si="11"/>
        <v>0.4838709677419355</v>
      </c>
      <c r="AL28" s="112">
        <f t="shared" si="12"/>
        <v>5.628205128205129</v>
      </c>
      <c r="AM28" s="112">
        <f t="shared" si="13"/>
        <v>23.57</v>
      </c>
      <c r="AN28" s="112">
        <f t="shared" si="14"/>
        <v>28.116666666666664</v>
      </c>
      <c r="AO28" s="112">
        <f t="shared" si="15"/>
        <v>119.56521739130436</v>
      </c>
      <c r="AP28" s="112">
        <f t="shared" si="16"/>
        <v>44.54375</v>
      </c>
      <c r="AQ28" s="112">
        <f t="shared" si="17"/>
        <v>118.08571428571427</v>
      </c>
      <c r="AR28" s="103">
        <f t="shared" si="23"/>
        <v>0.45708818961487513</v>
      </c>
      <c r="AS28" s="112">
        <f t="shared" si="18"/>
        <v>4.838709677419355</v>
      </c>
      <c r="AT28" s="112">
        <f t="shared" si="19"/>
        <v>47.987500000000004</v>
      </c>
      <c r="AU28" s="112">
        <f t="shared" si="20"/>
        <v>0.06349206349206349</v>
      </c>
      <c r="AV28" s="112">
        <f t="shared" si="21"/>
        <v>0.061538461538461535</v>
      </c>
      <c r="AW28" s="103">
        <f t="shared" si="24"/>
        <v>14.835714285714285</v>
      </c>
      <c r="AX28" s="103">
        <f t="shared" si="30"/>
        <v>9.178571428571427</v>
      </c>
      <c r="AY28" s="103"/>
      <c r="AZ28" s="103">
        <f t="shared" si="25"/>
        <v>5.6571428571428575</v>
      </c>
      <c r="BA28" s="113"/>
      <c r="BB28" s="113"/>
      <c r="BC28" s="112">
        <f t="shared" si="31"/>
        <v>177.59437490046187</v>
      </c>
      <c r="BD28" s="112">
        <f t="shared" si="32"/>
        <v>167.57232142857143</v>
      </c>
      <c r="BE28" s="96">
        <f t="shared" si="33"/>
        <v>2.9035401093090485</v>
      </c>
      <c r="BF28" s="114">
        <f>(('[1]setup'!$B$13*'[1]setup'!$B$14*'[1]setup'!$B$15)/10^(-R28))*10^6</f>
        <v>25.941423491621713</v>
      </c>
      <c r="BG28" s="115">
        <f t="shared" si="26"/>
        <v>7.909555955007676</v>
      </c>
      <c r="BH28" s="114">
        <f t="shared" si="27"/>
        <v>10.022053471890473</v>
      </c>
      <c r="BI28" s="114">
        <f t="shared" si="28"/>
        <v>178.05146309007677</v>
      </c>
      <c r="BJ28" s="114">
        <f t="shared" si="34"/>
        <v>201.42330087520082</v>
      </c>
      <c r="BK28" s="18">
        <f t="shared" si="29"/>
        <v>6.158996593318287</v>
      </c>
      <c r="BL28" s="96"/>
      <c r="BM28" s="112">
        <f>(3*('[1]setup'!$D$19*(10^-R28)^3)+2*('[1]setup'!$D$20*'[1]setup'!$D$19*((10^-R28)^2))+('[1]setup'!$D$21*'[1]setup'!$D$19*10^-R28)+('[1]setup'!$D$19*'[1]setup'!$D$22*(AP28/(10^6*2))*(10^-R28)^3))*10^6</f>
        <v>0.0005645805103223229</v>
      </c>
      <c r="BN28" s="103">
        <f t="shared" si="35"/>
        <v>-15.461717249606068</v>
      </c>
      <c r="BO28" s="114">
        <f>(BN28/((('[1]setup'!$C$26)/10^-R28)+2*(('[1]setup'!$C$26*'[1]setup'!$C$27)/(10^-R28^2))+3*(('[1]setup'!$C$26*'[1]setup'!$C$27*'[1]setup'!$C$28)/(10^-R28^3))))/(10^-R28^3/(10^-R28^3+'[1]setup'!$C$26*10^-R28^2+'[1]setup'!$C$26*'[1]setup'!$C$27*10^-R28+'[1]setup'!$C$26*'[1]setup'!$C$27*'[1]setup'!$C$28))</f>
        <v>-6.390697412135717</v>
      </c>
      <c r="BP28" s="113"/>
      <c r="BQ28" s="111">
        <f t="shared" si="0"/>
        <v>177.59437490046187</v>
      </c>
      <c r="BR28" s="111">
        <f t="shared" si="1"/>
        <v>167.57232142857143</v>
      </c>
      <c r="BS28" s="111">
        <f t="shared" si="2"/>
        <v>1.059807332060876</v>
      </c>
      <c r="BT28" s="111">
        <f t="shared" si="3"/>
        <v>9.307767757604722</v>
      </c>
      <c r="BU28" s="111">
        <f t="shared" si="4"/>
        <v>1.0125290608990207</v>
      </c>
    </row>
    <row r="29" spans="1:73" ht="12.75">
      <c r="A29" s="29">
        <v>38699</v>
      </c>
      <c r="B29" t="s">
        <v>37</v>
      </c>
      <c r="C29">
        <v>846907</v>
      </c>
      <c r="E29" s="61">
        <v>0.006</v>
      </c>
      <c r="F29" s="61">
        <v>0.002</v>
      </c>
      <c r="G29" s="61">
        <v>0.02</v>
      </c>
      <c r="H29" s="61">
        <v>2.966</v>
      </c>
      <c r="I29" s="61">
        <v>0.0102</v>
      </c>
      <c r="J29" s="61">
        <v>0.05669</v>
      </c>
      <c r="K29" s="61">
        <v>0.0053</v>
      </c>
      <c r="L29" s="61">
        <v>0.1847</v>
      </c>
      <c r="M29" s="61">
        <v>0.4974</v>
      </c>
      <c r="N29" s="61">
        <v>0.3705</v>
      </c>
      <c r="O29" s="61">
        <v>2.872</v>
      </c>
      <c r="P29" s="61">
        <v>0.666</v>
      </c>
      <c r="Q29" s="61">
        <v>2.76</v>
      </c>
      <c r="R29" s="61">
        <v>6.21</v>
      </c>
      <c r="S29" s="61">
        <v>16.4</v>
      </c>
      <c r="T29" s="61">
        <v>22.838</v>
      </c>
      <c r="U29" s="61">
        <v>0.05</v>
      </c>
      <c r="V29" s="61">
        <v>0.7242</v>
      </c>
      <c r="W29" s="61">
        <v>0.002</v>
      </c>
      <c r="X29" s="101">
        <v>0.002</v>
      </c>
      <c r="Y29" s="61">
        <v>0.5619</v>
      </c>
      <c r="Z29" s="61">
        <v>0.2305</v>
      </c>
      <c r="AA29" s="61">
        <v>0.16361</v>
      </c>
      <c r="AB29" s="61"/>
      <c r="AC29" s="61"/>
      <c r="AE29" s="112">
        <f t="shared" si="5"/>
        <v>0.2142857142857143</v>
      </c>
      <c r="AF29" s="112">
        <f t="shared" si="6"/>
        <v>0.07272727272727272</v>
      </c>
      <c r="AG29" s="112">
        <f t="shared" si="7"/>
        <v>2.2222222222222223</v>
      </c>
      <c r="AH29" s="112">
        <f t="shared" si="8"/>
        <v>423.7142857142858</v>
      </c>
      <c r="AI29" s="112">
        <f t="shared" si="9"/>
        <v>0.7285714285714285</v>
      </c>
      <c r="AJ29" s="112">
        <f t="shared" si="10"/>
        <v>4.049285714285714</v>
      </c>
      <c r="AK29" s="112">
        <f t="shared" si="11"/>
        <v>0.5129032258064515</v>
      </c>
      <c r="AL29" s="112">
        <f t="shared" si="12"/>
        <v>4.735897435897437</v>
      </c>
      <c r="AM29" s="112">
        <f t="shared" si="13"/>
        <v>24.87</v>
      </c>
      <c r="AN29" s="112">
        <f t="shared" si="14"/>
        <v>30.875</v>
      </c>
      <c r="AO29" s="112">
        <f t="shared" si="15"/>
        <v>124.8695652173913</v>
      </c>
      <c r="AP29" s="112">
        <f t="shared" si="16"/>
        <v>41.625</v>
      </c>
      <c r="AQ29" s="112">
        <f t="shared" si="17"/>
        <v>78.85714285714285</v>
      </c>
      <c r="AR29" s="103">
        <f t="shared" si="23"/>
        <v>0.6165950018614822</v>
      </c>
      <c r="AS29" s="112">
        <f t="shared" si="18"/>
        <v>4.838709677419355</v>
      </c>
      <c r="AT29" s="112">
        <f t="shared" si="19"/>
        <v>45.262499999999996</v>
      </c>
      <c r="AU29" s="112">
        <f t="shared" si="20"/>
        <v>0.06349206349206349</v>
      </c>
      <c r="AV29" s="112">
        <f t="shared" si="21"/>
        <v>0.061538461538461535</v>
      </c>
      <c r="AW29" s="103">
        <f t="shared" si="24"/>
        <v>16.464285714285715</v>
      </c>
      <c r="AX29" s="103">
        <f>AW29-(AI29+AJ29)</f>
        <v>11.686428571428571</v>
      </c>
      <c r="AY29" s="103"/>
      <c r="AZ29" s="103">
        <f t="shared" si="25"/>
        <v>4.777857142857143</v>
      </c>
      <c r="BA29" s="113"/>
      <c r="BB29" s="113"/>
      <c r="BC29" s="112">
        <f t="shared" si="31"/>
        <v>186.07903408186016</v>
      </c>
      <c r="BD29" s="112">
        <f t="shared" si="32"/>
        <v>124.53142857142856</v>
      </c>
      <c r="BE29" s="96">
        <f t="shared" si="33"/>
        <v>19.815045824497094</v>
      </c>
      <c r="BF29" s="114">
        <f>(('[1]setup'!$B$13*'[1]setup'!$B$14*'[1]setup'!$B$15)/10^(-R29))*10^6</f>
        <v>19.23064290826337</v>
      </c>
      <c r="BG29" s="115">
        <f t="shared" si="26"/>
        <v>5.2593096074582535</v>
      </c>
      <c r="BH29" s="114">
        <f t="shared" si="27"/>
        <v>61.54760551043162</v>
      </c>
      <c r="BI29" s="114">
        <f t="shared" si="28"/>
        <v>186.69562908372166</v>
      </c>
      <c r="BJ29" s="114">
        <f t="shared" si="34"/>
        <v>149.0213810871502</v>
      </c>
      <c r="BK29" s="18">
        <f t="shared" si="29"/>
        <v>11.222025353256955</v>
      </c>
      <c r="BL29" s="96"/>
      <c r="BM29" s="112">
        <f>(3*('[1]setup'!$D$19*(10^-R29)^3)+2*('[1]setup'!$D$20*'[1]setup'!$D$19*((10^-R29)^2))+('[1]setup'!$D$21*'[1]setup'!$D$19*10^-R29)+('[1]setup'!$D$19*'[1]setup'!$D$22*(AP29/(10^6*2))*(10^-R29)^3))*10^6</f>
        <v>0.0008568960618183251</v>
      </c>
      <c r="BN29" s="103">
        <f t="shared" si="35"/>
        <v>42.93441450009152</v>
      </c>
      <c r="BO29" s="114">
        <f>(BN29/((('[1]setup'!$C$26)/10^-R29)+2*(('[1]setup'!$C$26*'[1]setup'!$C$27)/(10^-R29^2))+3*(('[1]setup'!$C$26*'[1]setup'!$C$27*'[1]setup'!$C$28)/(10^-R29^3))))/(10^-R29^3/(10^-R29^3+'[1]setup'!$C$26*10^-R29^2+'[1]setup'!$C$26*'[1]setup'!$C$27*10^-R29+'[1]setup'!$C$26*'[1]setup'!$C$27*'[1]setup'!$C$28))</f>
        <v>18.32637503883281</v>
      </c>
      <c r="BP29" s="113"/>
      <c r="BQ29" s="111">
        <f t="shared" si="0"/>
        <v>186.07903408186016</v>
      </c>
      <c r="BR29" s="111">
        <f t="shared" si="1"/>
        <v>124.53142857142856</v>
      </c>
      <c r="BS29" s="111">
        <f t="shared" si="2"/>
        <v>1.494233513711996</v>
      </c>
      <c r="BT29" s="111">
        <f t="shared" si="3"/>
        <v>60.81903408186017</v>
      </c>
      <c r="BU29" s="111">
        <f t="shared" si="4"/>
        <v>1.5834908632640203</v>
      </c>
    </row>
    <row r="30" spans="1:73" ht="12.75">
      <c r="A30" s="29">
        <v>38727</v>
      </c>
      <c r="B30" t="s">
        <v>37</v>
      </c>
      <c r="C30">
        <v>847588</v>
      </c>
      <c r="E30" s="61">
        <v>0.006</v>
      </c>
      <c r="F30" s="61">
        <v>0.002</v>
      </c>
      <c r="G30" s="61">
        <v>0.02</v>
      </c>
      <c r="H30" s="61">
        <v>3.29</v>
      </c>
      <c r="I30" s="61">
        <v>0.0109</v>
      </c>
      <c r="J30" s="61">
        <v>0.07832</v>
      </c>
      <c r="K30" s="61">
        <v>0.0053</v>
      </c>
      <c r="L30" s="61">
        <v>0.2188</v>
      </c>
      <c r="M30" s="61">
        <v>0.6095</v>
      </c>
      <c r="N30" s="61">
        <v>0.3537</v>
      </c>
      <c r="O30" s="61">
        <v>2.866</v>
      </c>
      <c r="P30" s="61">
        <v>0.7759</v>
      </c>
      <c r="Q30" s="61">
        <v>3.109</v>
      </c>
      <c r="R30" s="61">
        <v>6.29</v>
      </c>
      <c r="S30" s="61">
        <v>18</v>
      </c>
      <c r="T30" s="61">
        <v>23.844</v>
      </c>
      <c r="U30" s="61">
        <v>0.05</v>
      </c>
      <c r="V30" s="61">
        <v>0.7833</v>
      </c>
      <c r="W30" s="61">
        <v>0.002</v>
      </c>
      <c r="X30" s="101">
        <v>0.002</v>
      </c>
      <c r="Y30" s="61">
        <v>0.5</v>
      </c>
      <c r="Z30" s="61">
        <v>0.13187417995186</v>
      </c>
      <c r="AA30" s="61">
        <v>0.042654179951859994</v>
      </c>
      <c r="AB30" s="61"/>
      <c r="AC30" s="61"/>
      <c r="AE30" s="112">
        <f t="shared" si="5"/>
        <v>0.2142857142857143</v>
      </c>
      <c r="AF30" s="112">
        <f t="shared" si="6"/>
        <v>0.07272727272727272</v>
      </c>
      <c r="AG30" s="112">
        <f t="shared" si="7"/>
        <v>2.2222222222222223</v>
      </c>
      <c r="AH30" s="112">
        <f t="shared" si="8"/>
        <v>470.00000000000006</v>
      </c>
      <c r="AI30" s="112">
        <f t="shared" si="9"/>
        <v>0.7785714285714286</v>
      </c>
      <c r="AJ30" s="112">
        <f t="shared" si="10"/>
        <v>5.594285714285714</v>
      </c>
      <c r="AK30" s="112">
        <f t="shared" si="11"/>
        <v>0.5129032258064515</v>
      </c>
      <c r="AL30" s="112">
        <f t="shared" si="12"/>
        <v>5.610256410256411</v>
      </c>
      <c r="AM30" s="112">
        <f t="shared" si="13"/>
        <v>30.475</v>
      </c>
      <c r="AN30" s="112">
        <f t="shared" si="14"/>
        <v>29.475</v>
      </c>
      <c r="AO30" s="112">
        <f t="shared" si="15"/>
        <v>124.60869565217392</v>
      </c>
      <c r="AP30" s="112">
        <f t="shared" si="16"/>
        <v>48.493750000000006</v>
      </c>
      <c r="AQ30" s="112">
        <f t="shared" si="17"/>
        <v>88.82857142857142</v>
      </c>
      <c r="AR30" s="103">
        <f t="shared" si="23"/>
        <v>0.5128613839913648</v>
      </c>
      <c r="AS30" s="112">
        <f t="shared" si="18"/>
        <v>4.838709677419355</v>
      </c>
      <c r="AT30" s="112">
        <f t="shared" si="19"/>
        <v>48.95625</v>
      </c>
      <c r="AU30" s="112">
        <f t="shared" si="20"/>
        <v>0.06349206349206349</v>
      </c>
      <c r="AV30" s="112">
        <f t="shared" si="21"/>
        <v>0.061538461538461535</v>
      </c>
      <c r="AW30" s="103">
        <f t="shared" si="24"/>
        <v>9.419584282275713</v>
      </c>
      <c r="AX30" s="103">
        <f>AW30-(AI30+AJ30)</f>
        <v>3.0467271394185698</v>
      </c>
      <c r="AY30" s="103"/>
      <c r="AZ30" s="103">
        <f t="shared" si="25"/>
        <v>6.372857142857143</v>
      </c>
      <c r="BA30" s="113"/>
      <c r="BB30" s="113"/>
      <c r="BC30" s="112">
        <f t="shared" si="31"/>
        <v>190.94752349100176</v>
      </c>
      <c r="BD30" s="112">
        <f t="shared" si="32"/>
        <v>142.91660714285715</v>
      </c>
      <c r="BE30" s="96">
        <f t="shared" si="33"/>
        <v>14.386366171458837</v>
      </c>
      <c r="BF30" s="114">
        <f>(('[1]setup'!$B$13*'[1]setup'!$B$14*'[1]setup'!$B$15)/10^(-R30))*10^6</f>
        <v>23.120318023432645</v>
      </c>
      <c r="BG30" s="115">
        <f t="shared" si="26"/>
        <v>4.7108649421299775</v>
      </c>
      <c r="BH30" s="114">
        <f t="shared" si="27"/>
        <v>48.030916348144615</v>
      </c>
      <c r="BI30" s="114">
        <f t="shared" si="28"/>
        <v>191.4603848749931</v>
      </c>
      <c r="BJ30" s="114">
        <f t="shared" si="34"/>
        <v>170.74779010841976</v>
      </c>
      <c r="BK30" s="18">
        <f t="shared" si="29"/>
        <v>5.718422773732777</v>
      </c>
      <c r="BL30" s="96"/>
      <c r="BM30" s="112">
        <f>(3*('[1]setup'!$D$19*(10^-R30)^3)+2*('[1]setup'!$D$20*'[1]setup'!$D$19*((10^-R30)^2))+('[1]setup'!$D$21*'[1]setup'!$D$19*10^-R30)+('[1]setup'!$D$19*'[1]setup'!$D$22*(AP30/(10^6*2))*(10^-R30)^3))*10^6</f>
        <v>0.0006603204434904665</v>
      </c>
      <c r="BN30" s="103">
        <f t="shared" si="35"/>
        <v>25.42412002914682</v>
      </c>
      <c r="BO30" s="114">
        <f>(BN30/((('[1]setup'!$C$26)/10^-R30)+2*(('[1]setup'!$C$26*'[1]setup'!$C$27)/(10^-R30^2))+3*(('[1]setup'!$C$26*'[1]setup'!$C$27*'[1]setup'!$C$28)/(10^-R30^3))))/(10^-R30^3/(10^-R30^3+'[1]setup'!$C$26*10^-R30^2+'[1]setup'!$C$26*'[1]setup'!$C$27*10^-R30+'[1]setup'!$C$26*'[1]setup'!$C$27*'[1]setup'!$C$28))</f>
        <v>10.639495348434135</v>
      </c>
      <c r="BP30" s="113"/>
      <c r="BQ30" s="111">
        <f t="shared" si="0"/>
        <v>190.94752349100176</v>
      </c>
      <c r="BR30" s="111">
        <f t="shared" si="1"/>
        <v>142.91660714285715</v>
      </c>
      <c r="BS30" s="111">
        <f t="shared" si="2"/>
        <v>1.3360765225844866</v>
      </c>
      <c r="BT30" s="111">
        <f t="shared" si="3"/>
        <v>47.252344919573176</v>
      </c>
      <c r="BU30" s="111">
        <f t="shared" si="4"/>
        <v>1.402799725900961</v>
      </c>
    </row>
    <row r="31" spans="1:73" ht="12.75">
      <c r="A31" s="29">
        <v>38755</v>
      </c>
      <c r="B31" t="s">
        <v>37</v>
      </c>
      <c r="C31">
        <v>850070</v>
      </c>
      <c r="E31" s="61">
        <v>0.006</v>
      </c>
      <c r="F31" s="61">
        <v>0.002</v>
      </c>
      <c r="G31" s="61">
        <v>0.02</v>
      </c>
      <c r="H31" s="61">
        <v>3.166</v>
      </c>
      <c r="I31" s="61">
        <v>0.01</v>
      </c>
      <c r="J31" s="61">
        <v>0.0993</v>
      </c>
      <c r="K31" s="61">
        <v>0.005</v>
      </c>
      <c r="L31" s="61">
        <v>0.2072</v>
      </c>
      <c r="M31" s="61">
        <v>0.525</v>
      </c>
      <c r="N31" s="61">
        <v>0.3451</v>
      </c>
      <c r="O31" s="61">
        <v>2.805</v>
      </c>
      <c r="P31" s="61">
        <v>0.7418</v>
      </c>
      <c r="Q31" s="61">
        <v>2.836</v>
      </c>
      <c r="R31" s="61">
        <v>6.17</v>
      </c>
      <c r="S31" s="61">
        <v>17.7</v>
      </c>
      <c r="T31" s="61">
        <v>23.62</v>
      </c>
      <c r="U31" s="61">
        <v>0.05</v>
      </c>
      <c r="V31" s="61">
        <v>0.7746</v>
      </c>
      <c r="W31" s="61">
        <v>0.002</v>
      </c>
      <c r="X31" s="101">
        <v>0.002</v>
      </c>
      <c r="Y31" s="61">
        <v>1.2606597579305436</v>
      </c>
      <c r="Z31" s="61">
        <v>0.112046822295322</v>
      </c>
      <c r="AA31" s="61">
        <v>0.002746822295321999</v>
      </c>
      <c r="AB31" s="61"/>
      <c r="AC31" s="61"/>
      <c r="AE31" s="112">
        <f t="shared" si="5"/>
        <v>0.2142857142857143</v>
      </c>
      <c r="AF31" s="112">
        <f t="shared" si="6"/>
        <v>0.07272727272727272</v>
      </c>
      <c r="AG31" s="112">
        <f t="shared" si="7"/>
        <v>2.2222222222222223</v>
      </c>
      <c r="AH31" s="112">
        <f t="shared" si="8"/>
        <v>452.2857142857143</v>
      </c>
      <c r="AI31" s="112">
        <f t="shared" si="9"/>
        <v>0.7142857142857143</v>
      </c>
      <c r="AJ31" s="112">
        <f t="shared" si="10"/>
        <v>7.0928571428571425</v>
      </c>
      <c r="AK31" s="112">
        <f t="shared" si="11"/>
        <v>0.4838709677419355</v>
      </c>
      <c r="AL31" s="112">
        <f t="shared" si="12"/>
        <v>5.312820512820513</v>
      </c>
      <c r="AM31" s="112">
        <f t="shared" si="13"/>
        <v>26.250000000000004</v>
      </c>
      <c r="AN31" s="112">
        <f t="shared" si="14"/>
        <v>28.758333333333333</v>
      </c>
      <c r="AO31" s="112">
        <f t="shared" si="15"/>
        <v>121.95652173913044</v>
      </c>
      <c r="AP31" s="112">
        <f t="shared" si="16"/>
        <v>46.362500000000004</v>
      </c>
      <c r="AQ31" s="112">
        <f t="shared" si="17"/>
        <v>81.02857142857142</v>
      </c>
      <c r="AR31" s="103">
        <f t="shared" si="23"/>
        <v>0.6760829753919818</v>
      </c>
      <c r="AS31" s="112">
        <f t="shared" si="18"/>
        <v>4.838709677419355</v>
      </c>
      <c r="AT31" s="112">
        <f t="shared" si="19"/>
        <v>48.412499999999994</v>
      </c>
      <c r="AU31" s="112">
        <f t="shared" si="20"/>
        <v>0.06349206349206349</v>
      </c>
      <c r="AV31" s="112">
        <f t="shared" si="21"/>
        <v>0.061538461538461535</v>
      </c>
      <c r="AW31" s="103">
        <f t="shared" si="24"/>
        <v>8.003344449665857</v>
      </c>
      <c r="AX31" s="103">
        <f>AW31-(AI31+AJ31)</f>
        <v>0.19620159252299985</v>
      </c>
      <c r="AY31" s="103"/>
      <c r="AZ31" s="103">
        <f t="shared" si="25"/>
        <v>7.807142857142857</v>
      </c>
      <c r="BA31" s="113"/>
      <c r="BB31" s="113"/>
      <c r="BC31" s="112">
        <f t="shared" si="31"/>
        <v>182.99196129957</v>
      </c>
      <c r="BD31" s="112">
        <f t="shared" si="32"/>
        <v>134.48392857142858</v>
      </c>
      <c r="BE31" s="96">
        <f t="shared" si="33"/>
        <v>15.27928081337197</v>
      </c>
      <c r="BF31" s="114">
        <f>(('[1]setup'!$B$13*'[1]setup'!$B$14*'[1]setup'!$B$15)/10^(-R31))*10^6</f>
        <v>17.538554780119053</v>
      </c>
      <c r="BG31" s="115">
        <f t="shared" si="26"/>
        <v>11.75810101717891</v>
      </c>
      <c r="BH31" s="114">
        <f t="shared" si="27"/>
        <v>48.508032728141416</v>
      </c>
      <c r="BI31" s="114">
        <f t="shared" si="28"/>
        <v>183.66804427496197</v>
      </c>
      <c r="BJ31" s="114">
        <f t="shared" si="34"/>
        <v>163.78058436872655</v>
      </c>
      <c r="BK31" s="18">
        <f t="shared" si="29"/>
        <v>5.723856209727677</v>
      </c>
      <c r="BL31" s="96"/>
      <c r="BM31" s="112">
        <f>(3*('[1]setup'!$D$19*(10^-R31)^3)+2*('[1]setup'!$D$20*'[1]setup'!$D$19*((10^-R31)^2))+('[1]setup'!$D$21*'[1]setup'!$D$19*10^-R31)+('[1]setup'!$D$19*'[1]setup'!$D$22*(AP31/(10^6*2))*(10^-R31)^3))*10^6</f>
        <v>0.0009812628388001477</v>
      </c>
      <c r="BN31" s="103">
        <f t="shared" si="35"/>
        <v>31.64654218625313</v>
      </c>
      <c r="BO31" s="114">
        <f>(BN31/((('[1]setup'!$C$26)/10^-R31)+2*(('[1]setup'!$C$26*'[1]setup'!$C$27)/(10^-R31^2))+3*(('[1]setup'!$C$26*'[1]setup'!$C$27*'[1]setup'!$C$28)/(10^-R31^3))))/(10^-R31^3/(10^-R31^3+'[1]setup'!$C$26*10^-R31^2+'[1]setup'!$C$26*'[1]setup'!$C$27*10^-R31+'[1]setup'!$C$26*'[1]setup'!$C$27*'[1]setup'!$C$28))</f>
        <v>13.641403538193206</v>
      </c>
      <c r="BP31" s="113"/>
      <c r="BQ31" s="111">
        <f t="shared" si="0"/>
        <v>182.99196129957</v>
      </c>
      <c r="BR31" s="111">
        <f t="shared" si="1"/>
        <v>134.48392857142858</v>
      </c>
      <c r="BS31" s="111">
        <f t="shared" si="2"/>
        <v>1.3606976182464605</v>
      </c>
      <c r="BT31" s="111">
        <f t="shared" si="3"/>
        <v>47.79374701385569</v>
      </c>
      <c r="BU31" s="111">
        <f t="shared" si="4"/>
        <v>1.5051051695590851</v>
      </c>
    </row>
    <row r="32" spans="1:73" ht="12.75">
      <c r="A32" s="29">
        <v>38810</v>
      </c>
      <c r="B32" t="s">
        <v>37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101"/>
      <c r="Y32" s="61"/>
      <c r="Z32" s="61"/>
      <c r="AA32" s="61"/>
      <c r="AB32" s="61"/>
      <c r="AC32" s="61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03"/>
      <c r="AS32" s="112"/>
      <c r="AT32" s="112"/>
      <c r="AU32" s="112"/>
      <c r="AV32" s="112"/>
      <c r="AW32" s="103"/>
      <c r="AX32" s="103"/>
      <c r="AY32" s="103"/>
      <c r="AZ32" s="103"/>
      <c r="BA32" s="113"/>
      <c r="BB32" s="113"/>
      <c r="BC32" s="112"/>
      <c r="BD32" s="112"/>
      <c r="BE32" s="96"/>
      <c r="BF32" s="114"/>
      <c r="BG32" s="115"/>
      <c r="BH32" s="114"/>
      <c r="BI32" s="114"/>
      <c r="BJ32" s="114"/>
      <c r="BK32" s="18"/>
      <c r="BL32" s="96"/>
      <c r="BM32" s="112"/>
      <c r="BN32" s="103"/>
      <c r="BO32" s="114"/>
      <c r="BP32" s="113"/>
      <c r="BQ32" s="111"/>
      <c r="BR32" s="111"/>
      <c r="BS32" s="111"/>
      <c r="BT32" s="111"/>
      <c r="BU32" s="111"/>
    </row>
    <row r="33" spans="1:73" ht="12.75">
      <c r="A33" s="29">
        <v>38826</v>
      </c>
      <c r="B33" t="s">
        <v>37</v>
      </c>
      <c r="C33">
        <v>856278</v>
      </c>
      <c r="E33" s="61">
        <v>0.006</v>
      </c>
      <c r="F33" s="61">
        <v>0.002</v>
      </c>
      <c r="G33" s="61">
        <v>0.02</v>
      </c>
      <c r="H33" s="34"/>
      <c r="I33" s="61">
        <v>0.0347</v>
      </c>
      <c r="J33" s="61">
        <v>0.025</v>
      </c>
      <c r="K33" s="61">
        <v>0.005</v>
      </c>
      <c r="L33" s="61">
        <v>0.1</v>
      </c>
      <c r="M33" s="34"/>
      <c r="N33" s="34"/>
      <c r="O33" s="34"/>
      <c r="P33" s="34"/>
      <c r="Q33" s="34"/>
      <c r="R33" s="61">
        <v>5.77</v>
      </c>
      <c r="S33" s="61">
        <v>19.5</v>
      </c>
      <c r="T33" s="34"/>
      <c r="U33" s="61">
        <v>0.05</v>
      </c>
      <c r="V33" s="34"/>
      <c r="W33" s="61">
        <v>0.002</v>
      </c>
      <c r="X33" s="101">
        <v>0.002</v>
      </c>
      <c r="Y33" s="61">
        <v>0.5</v>
      </c>
      <c r="Z33" s="61">
        <v>0.05654</v>
      </c>
      <c r="AA33" s="61">
        <v>-0.003160000000000003</v>
      </c>
      <c r="AB33" s="61"/>
      <c r="AC33" s="61"/>
      <c r="AE33" s="112">
        <f t="shared" si="5"/>
        <v>0.2142857142857143</v>
      </c>
      <c r="AF33" s="112">
        <f t="shared" si="6"/>
        <v>0.07272727272727272</v>
      </c>
      <c r="AG33" s="112">
        <f t="shared" si="7"/>
        <v>2.2222222222222223</v>
      </c>
      <c r="AH33" s="121"/>
      <c r="AI33" s="112">
        <f t="shared" si="9"/>
        <v>2.4785714285714286</v>
      </c>
      <c r="AJ33" s="112">
        <f t="shared" si="10"/>
        <v>1.7857142857142858</v>
      </c>
      <c r="AK33" s="112">
        <f t="shared" si="11"/>
        <v>0.4838709677419355</v>
      </c>
      <c r="AL33" s="112">
        <f t="shared" si="12"/>
        <v>2.5641025641025643</v>
      </c>
      <c r="AM33" s="121"/>
      <c r="AN33" s="121"/>
      <c r="AO33" s="121"/>
      <c r="AP33" s="121"/>
      <c r="AQ33" s="121"/>
      <c r="AR33" s="103">
        <f aca="true" t="shared" si="36" ref="AR33:AR52">SUM(10^(6-R33))</f>
        <v>1.6982436524617461</v>
      </c>
      <c r="AS33" s="112">
        <f t="shared" si="18"/>
        <v>4.838709677419355</v>
      </c>
      <c r="AT33" s="121"/>
      <c r="AU33" s="112">
        <f t="shared" si="20"/>
        <v>0.06349206349206349</v>
      </c>
      <c r="AV33" s="112">
        <f t="shared" si="21"/>
        <v>0.061538461538461535</v>
      </c>
      <c r="AW33" s="103">
        <f t="shared" si="24"/>
        <v>4.038571428571428</v>
      </c>
      <c r="AX33" s="103">
        <f>AW33-(AI33+AJ33)</f>
        <v>-0.22571428571428598</v>
      </c>
      <c r="AY33" s="103"/>
      <c r="AZ33" s="103">
        <f aca="true" t="shared" si="37" ref="AZ33:AZ52">AI33+AJ33</f>
        <v>4.264285714285714</v>
      </c>
      <c r="BA33" s="113"/>
      <c r="BB33" s="113"/>
      <c r="BC33" s="112"/>
      <c r="BD33" s="112"/>
      <c r="BE33" s="96"/>
      <c r="BF33" s="114">
        <f>(('[1]setup'!$B$13*'[1]setup'!$B$14*'[1]setup'!$B$15)/10^(-R33))*10^6</f>
        <v>6.9822244191107</v>
      </c>
      <c r="BG33" s="115">
        <f aca="true" t="shared" si="38" ref="BG33:BG52">((10^-(0.96+0.9*R33-0.039*R33^2))*Y33*10)/((10^-(0.96+0.9*R33-0.039*R33^2))+10^(-R33))</f>
        <v>4.458314065191045</v>
      </c>
      <c r="BH33" s="114"/>
      <c r="BI33" s="114"/>
      <c r="BJ33" s="114"/>
      <c r="BK33" s="18"/>
      <c r="BL33" s="96"/>
      <c r="BM33" s="112"/>
      <c r="BN33" s="103"/>
      <c r="BO33" s="114"/>
      <c r="BP33" s="113"/>
      <c r="BQ33" s="111"/>
      <c r="BR33" s="111"/>
      <c r="BS33" s="111"/>
      <c r="BT33" s="111"/>
      <c r="BU33" s="111"/>
    </row>
    <row r="34" spans="1:73" ht="12.75">
      <c r="A34" s="29">
        <v>38841</v>
      </c>
      <c r="B34" t="s">
        <v>37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101"/>
      <c r="Y34" s="61"/>
      <c r="Z34" s="61"/>
      <c r="AA34" s="61"/>
      <c r="AB34" s="61"/>
      <c r="AC34" s="61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03"/>
      <c r="AS34" s="112"/>
      <c r="AT34" s="112"/>
      <c r="AU34" s="112"/>
      <c r="AV34" s="112"/>
      <c r="AW34" s="103"/>
      <c r="AX34" s="103"/>
      <c r="AY34" s="103"/>
      <c r="AZ34" s="103"/>
      <c r="BA34" s="113"/>
      <c r="BB34" s="113"/>
      <c r="BC34" s="112"/>
      <c r="BD34" s="112"/>
      <c r="BE34" s="96"/>
      <c r="BF34" s="114"/>
      <c r="BG34" s="115"/>
      <c r="BH34" s="114"/>
      <c r="BI34" s="114"/>
      <c r="BJ34" s="114"/>
      <c r="BK34" s="18"/>
      <c r="BL34" s="96"/>
      <c r="BM34" s="112"/>
      <c r="BN34" s="103"/>
      <c r="BO34" s="114"/>
      <c r="BP34" s="113"/>
      <c r="BQ34" s="111"/>
      <c r="BR34" s="111"/>
      <c r="BS34" s="111"/>
      <c r="BT34" s="111"/>
      <c r="BU34" s="111"/>
    </row>
    <row r="35" spans="1:73" ht="12.75">
      <c r="A35" s="29">
        <v>38853</v>
      </c>
      <c r="B35" t="s">
        <v>37</v>
      </c>
      <c r="C35">
        <v>859359</v>
      </c>
      <c r="E35" s="61">
        <v>0.006</v>
      </c>
      <c r="F35" s="61">
        <v>0.002</v>
      </c>
      <c r="G35" s="61">
        <v>0.02</v>
      </c>
      <c r="H35" s="61">
        <v>2.978</v>
      </c>
      <c r="I35" s="61">
        <v>0.01</v>
      </c>
      <c r="J35" s="61">
        <v>0.06064</v>
      </c>
      <c r="K35" s="61">
        <v>0.006</v>
      </c>
      <c r="L35" s="61">
        <v>0.1403</v>
      </c>
      <c r="M35" s="61">
        <v>0.5295</v>
      </c>
      <c r="N35" s="61">
        <v>0.3336</v>
      </c>
      <c r="O35" s="61">
        <v>2.401</v>
      </c>
      <c r="P35" s="61">
        <v>0.7051</v>
      </c>
      <c r="Q35" s="61">
        <v>2.557</v>
      </c>
      <c r="R35" s="61">
        <v>6.26</v>
      </c>
      <c r="S35" s="61">
        <v>15</v>
      </c>
      <c r="T35" s="61">
        <v>21.357</v>
      </c>
      <c r="U35" s="61">
        <v>0.05</v>
      </c>
      <c r="V35" s="61">
        <v>0.7796</v>
      </c>
      <c r="W35" s="61">
        <v>0.002</v>
      </c>
      <c r="X35" s="101">
        <v>0.002</v>
      </c>
      <c r="Y35" s="61">
        <v>0.5</v>
      </c>
      <c r="Z35" s="61">
        <v>0.1056</v>
      </c>
      <c r="AA35" s="61">
        <v>0.034960000000000005</v>
      </c>
      <c r="AB35" s="61"/>
      <c r="AC35" s="61"/>
      <c r="AE35" s="112">
        <f t="shared" si="5"/>
        <v>0.2142857142857143</v>
      </c>
      <c r="AF35" s="112">
        <f t="shared" si="6"/>
        <v>0.07272727272727272</v>
      </c>
      <c r="AG35" s="112">
        <f t="shared" si="7"/>
        <v>2.2222222222222223</v>
      </c>
      <c r="AH35" s="112">
        <f t="shared" si="8"/>
        <v>425.42857142857144</v>
      </c>
      <c r="AI35" s="112">
        <f t="shared" si="9"/>
        <v>0.7142857142857143</v>
      </c>
      <c r="AJ35" s="112">
        <f t="shared" si="10"/>
        <v>4.331428571428571</v>
      </c>
      <c r="AK35" s="112">
        <f t="shared" si="11"/>
        <v>0.5806451612903225</v>
      </c>
      <c r="AL35" s="112">
        <f t="shared" si="12"/>
        <v>3.5974358974358975</v>
      </c>
      <c r="AM35" s="112">
        <f t="shared" si="13"/>
        <v>26.474999999999998</v>
      </c>
      <c r="AN35" s="112">
        <f t="shared" si="14"/>
        <v>27.8</v>
      </c>
      <c r="AO35" s="112">
        <f t="shared" si="15"/>
        <v>104.39130434782608</v>
      </c>
      <c r="AP35" s="112">
        <f t="shared" si="16"/>
        <v>44.068749999999994</v>
      </c>
      <c r="AQ35" s="112">
        <f t="shared" si="17"/>
        <v>73.05714285714286</v>
      </c>
      <c r="AR35" s="103">
        <f t="shared" si="36"/>
        <v>0.5495408738576248</v>
      </c>
      <c r="AS35" s="112">
        <f t="shared" si="18"/>
        <v>4.838709677419355</v>
      </c>
      <c r="AT35" s="112">
        <f t="shared" si="19"/>
        <v>48.724999999999994</v>
      </c>
      <c r="AU35" s="112">
        <f t="shared" si="20"/>
        <v>0.06349206349206349</v>
      </c>
      <c r="AV35" s="112">
        <f t="shared" si="21"/>
        <v>0.061538461538461535</v>
      </c>
      <c r="AW35" s="103">
        <f t="shared" si="24"/>
        <v>7.542857142857143</v>
      </c>
      <c r="AX35" s="103">
        <f>AW35-(AI35+AJ35)</f>
        <v>2.4971428571428573</v>
      </c>
      <c r="AY35" s="103"/>
      <c r="AZ35" s="103">
        <f t="shared" si="37"/>
        <v>5.045714285714285</v>
      </c>
      <c r="BA35" s="113"/>
      <c r="BB35" s="113"/>
      <c r="BC35" s="112">
        <f aca="true" t="shared" si="39" ref="BC35:BC42">AL35+AM35+AN35+AO35+AI35</f>
        <v>162.9780259595477</v>
      </c>
      <c r="BD35" s="112">
        <f aca="true" t="shared" si="40" ref="BD35:BD42">AJ35+AP35+AQ35</f>
        <v>121.45732142857143</v>
      </c>
      <c r="BE35" s="96">
        <f aca="true" t="shared" si="41" ref="BE35:BE42">ABS(BC35-BD35)/(BC35+BD35)*100</f>
        <v>14.59758954442474</v>
      </c>
      <c r="BF35" s="114">
        <f>(('[1]setup'!$B$13*'[1]setup'!$B$14*'[1]setup'!$B$15)/10^(-R35))*10^6</f>
        <v>21.577136231162672</v>
      </c>
      <c r="BG35" s="115">
        <f t="shared" si="38"/>
        <v>4.6995710240590585</v>
      </c>
      <c r="BH35" s="114">
        <f aca="true" t="shared" si="42" ref="BH35:BH42">(AM35+AN35+AO35+AL35+AI35)-(AP35+AQ35+AJ35)</f>
        <v>41.52070453097626</v>
      </c>
      <c r="BI35" s="114">
        <f aca="true" t="shared" si="43" ref="BI35:BI42">(AM35+AN35+AO35+AL35+AI35)+((10^-R35)*10^6)</f>
        <v>163.52756683340533</v>
      </c>
      <c r="BJ35" s="114">
        <f aca="true" t="shared" si="44" ref="BJ35:BJ42">(AP35+AQ35+AJ35+BG35+BF35)</f>
        <v>147.73402868379316</v>
      </c>
      <c r="BK35" s="18">
        <f aca="true" t="shared" si="45" ref="BK35:BK42">ABS(BI35-BJ35)/(BI35+BJ35)*100</f>
        <v>5.0740400926652445</v>
      </c>
      <c r="BL35" s="96"/>
      <c r="BM35" s="112">
        <f>(3*('[1]setup'!$D$19*(10^-R35)^3)+2*('[1]setup'!$D$20*'[1]setup'!$D$19*((10^-R35)^2))+('[1]setup'!$D$21*'[1]setup'!$D$19*10^-R35)+('[1]setup'!$D$19*'[1]setup'!$D$22*(AP35/(10^6*2))*(10^-R35)^3))*10^6</f>
        <v>0.0007269874352308416</v>
      </c>
      <c r="BN35" s="103">
        <f aca="true" t="shared" si="46" ref="BN35:BN42">(AM35+AN35+AO35+AL35+AI35+(10^-R35)*10^6+BM35)-(AP35+AQ35+AJ35+BF35)</f>
        <v>20.493836161106458</v>
      </c>
      <c r="BO35" s="114">
        <f>(BN35/((('[1]setup'!$C$26)/10^-R35)+2*(('[1]setup'!$C$26*'[1]setup'!$C$27)/(10^-R35^2))+3*(('[1]setup'!$C$26*'[1]setup'!$C$27*'[1]setup'!$C$28)/(10^-R35^3))))/(10^-R35^3/(10^-R35^3+'[1]setup'!$C$26*10^-R35^2+'[1]setup'!$C$26*'[1]setup'!$C$27*10^-R35+'[1]setup'!$C$26*'[1]setup'!$C$27*'[1]setup'!$C$28))</f>
        <v>8.640299734397175</v>
      </c>
      <c r="BP35" s="113"/>
      <c r="BQ35" s="111">
        <f t="shared" si="0"/>
        <v>162.9780259595477</v>
      </c>
      <c r="BR35" s="111">
        <f t="shared" si="1"/>
        <v>121.45732142857143</v>
      </c>
      <c r="BS35" s="111">
        <f t="shared" si="2"/>
        <v>1.3418542747576927</v>
      </c>
      <c r="BT35" s="111">
        <f t="shared" si="3"/>
        <v>40.80641881669054</v>
      </c>
      <c r="BU35" s="111">
        <f t="shared" si="4"/>
        <v>1.4288993555627345</v>
      </c>
    </row>
    <row r="36" spans="1:73" ht="12.75">
      <c r="A36" s="29">
        <v>38867</v>
      </c>
      <c r="B36" t="s">
        <v>37</v>
      </c>
      <c r="C36">
        <v>859969</v>
      </c>
      <c r="E36" s="61">
        <v>0.006</v>
      </c>
      <c r="F36" s="61">
        <v>0.002</v>
      </c>
      <c r="G36" s="61">
        <v>0.0694</v>
      </c>
      <c r="H36" s="61">
        <v>2.681</v>
      </c>
      <c r="I36" s="61">
        <v>0.017</v>
      </c>
      <c r="J36" s="61">
        <v>0.0422207</v>
      </c>
      <c r="K36" s="61">
        <v>0.005</v>
      </c>
      <c r="L36" s="61">
        <v>0.2022</v>
      </c>
      <c r="M36" s="61">
        <v>0.5107</v>
      </c>
      <c r="N36" s="61">
        <v>0.3427</v>
      </c>
      <c r="O36" s="61">
        <v>2.585</v>
      </c>
      <c r="P36" s="61">
        <v>0.612824</v>
      </c>
      <c r="Q36" s="61">
        <v>3.05715</v>
      </c>
      <c r="R36" s="61">
        <v>5.99</v>
      </c>
      <c r="S36" s="61">
        <v>18.4</v>
      </c>
      <c r="T36" s="61">
        <v>21.134</v>
      </c>
      <c r="U36" s="61">
        <v>0.05</v>
      </c>
      <c r="V36" s="61">
        <v>0.6237</v>
      </c>
      <c r="W36" s="61">
        <v>0.002</v>
      </c>
      <c r="X36" s="101">
        <v>0.002</v>
      </c>
      <c r="Y36" s="61">
        <v>1.67</v>
      </c>
      <c r="Z36" s="61">
        <v>0.1777</v>
      </c>
      <c r="AA36" s="61">
        <v>0.1184793</v>
      </c>
      <c r="AB36" s="61"/>
      <c r="AC36" s="61"/>
      <c r="AE36" s="112">
        <f t="shared" si="5"/>
        <v>0.2142857142857143</v>
      </c>
      <c r="AF36" s="112">
        <f t="shared" si="6"/>
        <v>0.07272727272727272</v>
      </c>
      <c r="AG36" s="112">
        <f t="shared" si="7"/>
        <v>7.711111111111111</v>
      </c>
      <c r="AH36" s="112">
        <f t="shared" si="8"/>
        <v>383</v>
      </c>
      <c r="AI36" s="112">
        <f t="shared" si="9"/>
        <v>1.2142857142857144</v>
      </c>
      <c r="AJ36" s="112">
        <f t="shared" si="10"/>
        <v>3.015764285714286</v>
      </c>
      <c r="AK36" s="112">
        <f t="shared" si="11"/>
        <v>0.4838709677419355</v>
      </c>
      <c r="AL36" s="112">
        <f t="shared" si="12"/>
        <v>5.184615384615385</v>
      </c>
      <c r="AM36" s="112">
        <f t="shared" si="13"/>
        <v>25.535000000000004</v>
      </c>
      <c r="AN36" s="112">
        <f t="shared" si="14"/>
        <v>28.558333333333334</v>
      </c>
      <c r="AO36" s="112">
        <f t="shared" si="15"/>
        <v>112.39130434782608</v>
      </c>
      <c r="AP36" s="112">
        <f t="shared" si="16"/>
        <v>38.301500000000004</v>
      </c>
      <c r="AQ36" s="112">
        <f t="shared" si="17"/>
        <v>87.34714285714286</v>
      </c>
      <c r="AR36" s="103">
        <f t="shared" si="36"/>
        <v>1.0232929922807537</v>
      </c>
      <c r="AS36" s="112">
        <f t="shared" si="18"/>
        <v>4.838709677419355</v>
      </c>
      <c r="AT36" s="112">
        <f t="shared" si="19"/>
        <v>38.98125</v>
      </c>
      <c r="AU36" s="112">
        <f t="shared" si="20"/>
        <v>0.06349206349206349</v>
      </c>
      <c r="AV36" s="112">
        <f t="shared" si="21"/>
        <v>0.061538461538461535</v>
      </c>
      <c r="AW36" s="103">
        <f t="shared" si="24"/>
        <v>12.692857142857143</v>
      </c>
      <c r="AX36" s="103">
        <f>AW36-(AI36+AJ36)</f>
        <v>8.462807142857143</v>
      </c>
      <c r="AY36" s="103"/>
      <c r="AZ36" s="103">
        <f t="shared" si="37"/>
        <v>4.23005</v>
      </c>
      <c r="BA36" s="113"/>
      <c r="BB36" s="113"/>
      <c r="BC36" s="112">
        <f t="shared" si="39"/>
        <v>172.88353878006052</v>
      </c>
      <c r="BD36" s="112">
        <f t="shared" si="40"/>
        <v>128.66440714285716</v>
      </c>
      <c r="BE36" s="96">
        <f t="shared" si="41"/>
        <v>14.66404670801729</v>
      </c>
      <c r="BF36" s="114">
        <f>(('[1]setup'!$B$13*'[1]setup'!$B$14*'[1]setup'!$B$15)/10^(-R36))*10^6</f>
        <v>11.587608230746962</v>
      </c>
      <c r="BG36" s="115">
        <f t="shared" si="38"/>
        <v>15.299292518548294</v>
      </c>
      <c r="BH36" s="114">
        <f t="shared" si="42"/>
        <v>44.21913163720339</v>
      </c>
      <c r="BI36" s="114">
        <f t="shared" si="43"/>
        <v>173.9068317723413</v>
      </c>
      <c r="BJ36" s="114">
        <f t="shared" si="44"/>
        <v>155.5513078921524</v>
      </c>
      <c r="BK36" s="18">
        <f t="shared" si="45"/>
        <v>5.571428254551967</v>
      </c>
      <c r="BL36" s="96"/>
      <c r="BM36" s="112">
        <f>(3*('[1]setup'!$D$19*(10^-R36)^3)+2*('[1]setup'!$D$20*'[1]setup'!$D$19*((10^-R36)^2))+('[1]setup'!$D$21*'[1]setup'!$D$19*10^-R36)+('[1]setup'!$D$19*'[1]setup'!$D$22*(AP36/(10^6*2))*(10^-R36)^3))*10^6</f>
        <v>0.0018963621286847054</v>
      </c>
      <c r="BN36" s="103">
        <f t="shared" si="46"/>
        <v>33.65671276086587</v>
      </c>
      <c r="BO36" s="114">
        <f>(BN36/((('[1]setup'!$C$26)/10^-R36)+2*(('[1]setup'!$C$26*'[1]setup'!$C$27)/(10^-R36^2))+3*(('[1]setup'!$C$26*'[1]setup'!$C$27*'[1]setup'!$C$28)/(10^-R36^3))))/(10^-R36^3/(10^-R36^3+'[1]setup'!$C$26*10^-R36^2+'[1]setup'!$C$26*'[1]setup'!$C$27*10^-R36+'[1]setup'!$C$26*'[1]setup'!$C$27*'[1]setup'!$C$28))</f>
        <v>15.141701205755759</v>
      </c>
      <c r="BP36" s="113"/>
      <c r="BQ36" s="111">
        <f t="shared" si="0"/>
        <v>172.88353878006052</v>
      </c>
      <c r="BR36" s="111">
        <f t="shared" si="1"/>
        <v>128.66440714285716</v>
      </c>
      <c r="BS36" s="111">
        <f t="shared" si="2"/>
        <v>1.343678042895783</v>
      </c>
      <c r="BT36" s="111">
        <f t="shared" si="3"/>
        <v>43.00484592291764</v>
      </c>
      <c r="BU36" s="111">
        <f t="shared" si="4"/>
        <v>1.2867198705244796</v>
      </c>
    </row>
    <row r="37" spans="1:73" ht="12.75">
      <c r="A37" s="29">
        <v>38910</v>
      </c>
      <c r="B37" t="s">
        <v>37</v>
      </c>
      <c r="C37">
        <v>861937</v>
      </c>
      <c r="E37" s="61">
        <v>0.006</v>
      </c>
      <c r="F37" s="61">
        <v>0.002</v>
      </c>
      <c r="G37" s="61">
        <v>0.02</v>
      </c>
      <c r="H37" s="61">
        <v>2.72</v>
      </c>
      <c r="I37" s="61">
        <v>0.028</v>
      </c>
      <c r="J37" s="61">
        <v>0.047</v>
      </c>
      <c r="K37" s="61">
        <v>0.005</v>
      </c>
      <c r="L37" s="61">
        <v>0.15</v>
      </c>
      <c r="M37" s="61">
        <v>0.51</v>
      </c>
      <c r="N37" s="61">
        <v>0.27</v>
      </c>
      <c r="O37" s="61">
        <v>2.58</v>
      </c>
      <c r="P37" s="61">
        <v>0.713</v>
      </c>
      <c r="Q37" s="61">
        <v>2.78</v>
      </c>
      <c r="R37" s="61">
        <v>6.47</v>
      </c>
      <c r="S37" s="61">
        <v>23</v>
      </c>
      <c r="T37" s="61">
        <v>22.991</v>
      </c>
      <c r="U37" s="61">
        <v>0.05</v>
      </c>
      <c r="V37" s="61">
        <v>0.68</v>
      </c>
      <c r="W37" s="61">
        <v>0.002</v>
      </c>
      <c r="X37" s="101">
        <v>0.009</v>
      </c>
      <c r="Y37" s="61">
        <v>0.7</v>
      </c>
      <c r="Z37" s="61">
        <v>0.2</v>
      </c>
      <c r="AA37" s="61">
        <v>0.125</v>
      </c>
      <c r="AB37" s="61"/>
      <c r="AC37" s="61"/>
      <c r="AE37" s="112">
        <f t="shared" si="5"/>
        <v>0.2142857142857143</v>
      </c>
      <c r="AF37" s="112">
        <f t="shared" si="6"/>
        <v>0.07272727272727272</v>
      </c>
      <c r="AG37" s="112">
        <f t="shared" si="7"/>
        <v>2.2222222222222223</v>
      </c>
      <c r="AH37" s="112">
        <f t="shared" si="8"/>
        <v>388.5714285714286</v>
      </c>
      <c r="AI37" s="112">
        <f t="shared" si="9"/>
        <v>2</v>
      </c>
      <c r="AJ37" s="112">
        <f t="shared" si="10"/>
        <v>3.357142857142857</v>
      </c>
      <c r="AK37" s="112">
        <f t="shared" si="11"/>
        <v>0.4838709677419355</v>
      </c>
      <c r="AL37" s="112">
        <f t="shared" si="12"/>
        <v>3.846153846153846</v>
      </c>
      <c r="AM37" s="112">
        <f t="shared" si="13"/>
        <v>25.500000000000004</v>
      </c>
      <c r="AN37" s="112">
        <f t="shared" si="14"/>
        <v>22.500000000000004</v>
      </c>
      <c r="AO37" s="112">
        <f t="shared" si="15"/>
        <v>112.17391304347827</v>
      </c>
      <c r="AP37" s="112">
        <f t="shared" si="16"/>
        <v>44.5625</v>
      </c>
      <c r="AQ37" s="112">
        <f t="shared" si="17"/>
        <v>79.42857142857142</v>
      </c>
      <c r="AR37" s="103">
        <f t="shared" si="36"/>
        <v>0.3388441561392027</v>
      </c>
      <c r="AS37" s="112">
        <f t="shared" si="18"/>
        <v>4.838709677419355</v>
      </c>
      <c r="AT37" s="112">
        <f t="shared" si="19"/>
        <v>42.5</v>
      </c>
      <c r="AU37" s="112">
        <f t="shared" si="20"/>
        <v>0.06349206349206349</v>
      </c>
      <c r="AV37" s="112">
        <f t="shared" si="21"/>
        <v>0.2769230769230769</v>
      </c>
      <c r="AW37" s="103">
        <f t="shared" si="24"/>
        <v>14.285714285714286</v>
      </c>
      <c r="AX37" s="103">
        <f>AW37-(AI37+AJ37)</f>
        <v>8.928571428571429</v>
      </c>
      <c r="AY37" s="103"/>
      <c r="AZ37" s="103">
        <f t="shared" si="37"/>
        <v>5.357142857142858</v>
      </c>
      <c r="BA37" s="113"/>
      <c r="BB37" s="113"/>
      <c r="BC37" s="112">
        <f t="shared" si="39"/>
        <v>166.02006688963212</v>
      </c>
      <c r="BD37" s="112">
        <f t="shared" si="40"/>
        <v>127.34821428571428</v>
      </c>
      <c r="BE37" s="96">
        <f t="shared" si="41"/>
        <v>13.182015604748917</v>
      </c>
      <c r="BF37" s="114">
        <f>(('[1]setup'!$B$13*'[1]setup'!$B$14*'[1]setup'!$B$15)/10^(-R37))*10^6</f>
        <v>34.99401741178882</v>
      </c>
      <c r="BG37" s="115">
        <f t="shared" si="38"/>
        <v>6.679963867612666</v>
      </c>
      <c r="BH37" s="114">
        <f t="shared" si="42"/>
        <v>38.67185260391784</v>
      </c>
      <c r="BI37" s="114">
        <f t="shared" si="43"/>
        <v>166.35891104577132</v>
      </c>
      <c r="BJ37" s="114">
        <f t="shared" si="44"/>
        <v>169.02219556511574</v>
      </c>
      <c r="BK37" s="18">
        <f t="shared" si="45"/>
        <v>0.7941069031161581</v>
      </c>
      <c r="BL37" s="96"/>
      <c r="BM37" s="112">
        <f>(3*('[1]setup'!$D$19*(10^-R37)^3)+2*('[1]setup'!$D$20*'[1]setup'!$D$19*((10^-R37)^2))+('[1]setup'!$D$21*'[1]setup'!$D$19*10^-R37)+('[1]setup'!$D$19*'[1]setup'!$D$22*(AP37/(10^6*2))*(10^-R37)^3))*10^6</f>
        <v>0.00038305440157056887</v>
      </c>
      <c r="BN37" s="103">
        <f t="shared" si="46"/>
        <v>4.017062402669779</v>
      </c>
      <c r="BO37" s="114">
        <f>(BN37/((('[1]setup'!$C$26)/10^-R37)+2*(('[1]setup'!$C$26*'[1]setup'!$C$27)/(10^-R37^2))+3*(('[1]setup'!$C$26*'[1]setup'!$C$27*'[1]setup'!$C$28)/(10^-R37^3))))/(10^-R37^3/(10^-R37^3+'[1]setup'!$C$26*10^-R37^2+'[1]setup'!$C$26*'[1]setup'!$C$27*10^-R37+'[1]setup'!$C$26*'[1]setup'!$C$27*'[1]setup'!$C$28))</f>
        <v>1.6083464036475397</v>
      </c>
      <c r="BP37" s="113"/>
      <c r="BQ37" s="111">
        <f t="shared" si="0"/>
        <v>166.02006688963212</v>
      </c>
      <c r="BR37" s="111">
        <f t="shared" si="1"/>
        <v>127.34821428571428</v>
      </c>
      <c r="BS37" s="111">
        <f t="shared" si="2"/>
        <v>1.3036701599690668</v>
      </c>
      <c r="BT37" s="111">
        <f t="shared" si="3"/>
        <v>36.67185260391784</v>
      </c>
      <c r="BU37" s="111">
        <f t="shared" si="4"/>
        <v>1.412261495151705</v>
      </c>
    </row>
    <row r="38" spans="1:73" ht="12.75">
      <c r="A38" s="29">
        <v>38965</v>
      </c>
      <c r="B38" t="s">
        <v>37</v>
      </c>
      <c r="C38">
        <v>868210</v>
      </c>
      <c r="E38" s="61">
        <v>0.006</v>
      </c>
      <c r="F38" s="61">
        <v>0.002</v>
      </c>
      <c r="G38" s="61">
        <v>0.02</v>
      </c>
      <c r="H38" s="61">
        <v>2.92</v>
      </c>
      <c r="I38" s="61">
        <v>0.023</v>
      </c>
      <c r="J38" s="61">
        <v>0.059</v>
      </c>
      <c r="K38" s="61">
        <v>0.006</v>
      </c>
      <c r="L38" s="61">
        <v>0.17</v>
      </c>
      <c r="M38" s="61">
        <v>0.57</v>
      </c>
      <c r="N38" s="61">
        <v>0.27</v>
      </c>
      <c r="O38" s="61">
        <v>2.21</v>
      </c>
      <c r="P38" s="61">
        <v>0.719</v>
      </c>
      <c r="Q38" s="61">
        <v>2.495</v>
      </c>
      <c r="R38" s="61">
        <v>6.14</v>
      </c>
      <c r="S38" s="61">
        <v>19.9</v>
      </c>
      <c r="T38" s="61">
        <v>21.903</v>
      </c>
      <c r="U38" s="61">
        <v>0.05</v>
      </c>
      <c r="V38" s="61">
        <v>0.68</v>
      </c>
      <c r="W38" s="61">
        <v>0.002</v>
      </c>
      <c r="X38" s="101">
        <v>0.007</v>
      </c>
      <c r="Y38" s="61">
        <v>0.7</v>
      </c>
      <c r="Z38" s="61">
        <v>0.1</v>
      </c>
      <c r="AA38" s="61">
        <v>0.018000000000000016</v>
      </c>
      <c r="AB38" s="61"/>
      <c r="AC38" s="61"/>
      <c r="AE38" s="112">
        <f t="shared" si="5"/>
        <v>0.2142857142857143</v>
      </c>
      <c r="AF38" s="112">
        <f t="shared" si="6"/>
        <v>0.07272727272727272</v>
      </c>
      <c r="AG38" s="112">
        <f t="shared" si="7"/>
        <v>2.2222222222222223</v>
      </c>
      <c r="AH38" s="112">
        <f t="shared" si="8"/>
        <v>417.14285714285717</v>
      </c>
      <c r="AI38" s="112">
        <f t="shared" si="9"/>
        <v>1.6428571428571428</v>
      </c>
      <c r="AJ38" s="112">
        <f t="shared" si="10"/>
        <v>4.2142857142857135</v>
      </c>
      <c r="AK38" s="112">
        <f t="shared" si="11"/>
        <v>0.5806451612903225</v>
      </c>
      <c r="AL38" s="112">
        <f t="shared" si="12"/>
        <v>4.3589743589743595</v>
      </c>
      <c r="AM38" s="112">
        <f t="shared" si="13"/>
        <v>28.499999999999996</v>
      </c>
      <c r="AN38" s="112">
        <f t="shared" si="14"/>
        <v>22.500000000000004</v>
      </c>
      <c r="AO38" s="112">
        <f t="shared" si="15"/>
        <v>96.08695652173913</v>
      </c>
      <c r="AP38" s="112">
        <f t="shared" si="16"/>
        <v>44.9375</v>
      </c>
      <c r="AQ38" s="112">
        <f t="shared" si="17"/>
        <v>71.28571428571429</v>
      </c>
      <c r="AR38" s="103">
        <f t="shared" si="36"/>
        <v>0.7244359600749906</v>
      </c>
      <c r="AS38" s="112">
        <f t="shared" si="18"/>
        <v>4.838709677419355</v>
      </c>
      <c r="AT38" s="112">
        <f t="shared" si="19"/>
        <v>42.5</v>
      </c>
      <c r="AU38" s="112">
        <f t="shared" si="20"/>
        <v>0.06349206349206349</v>
      </c>
      <c r="AV38" s="112">
        <f t="shared" si="21"/>
        <v>0.2153846153846154</v>
      </c>
      <c r="AW38" s="103">
        <f t="shared" si="24"/>
        <v>7.142857142857143</v>
      </c>
      <c r="AX38" s="103">
        <f>AW38-(AI38+AJ38)</f>
        <v>1.2857142857142874</v>
      </c>
      <c r="AY38" s="103"/>
      <c r="AZ38" s="103">
        <f t="shared" si="37"/>
        <v>5.857142857142856</v>
      </c>
      <c r="BA38" s="113"/>
      <c r="BB38" s="113"/>
      <c r="BC38" s="112">
        <f t="shared" si="39"/>
        <v>153.08878802357063</v>
      </c>
      <c r="BD38" s="112">
        <f t="shared" si="40"/>
        <v>120.4375</v>
      </c>
      <c r="BE38" s="96">
        <f t="shared" si="41"/>
        <v>11.93716635410084</v>
      </c>
      <c r="BF38" s="114">
        <f>(('[1]setup'!$B$13*'[1]setup'!$B$14*'[1]setup'!$B$15)/10^(-R38))*10^6</f>
        <v>16.367931678309713</v>
      </c>
      <c r="BG38" s="115">
        <f t="shared" si="38"/>
        <v>6.510942985462552</v>
      </c>
      <c r="BH38" s="114">
        <f t="shared" si="42"/>
        <v>32.65128802357063</v>
      </c>
      <c r="BI38" s="114">
        <f t="shared" si="43"/>
        <v>153.81322398364563</v>
      </c>
      <c r="BJ38" s="114">
        <f t="shared" si="44"/>
        <v>143.31637466377225</v>
      </c>
      <c r="BK38" s="18">
        <f t="shared" si="45"/>
        <v>3.532751152243579</v>
      </c>
      <c r="BL38" s="96"/>
      <c r="BM38" s="112">
        <f>(3*('[1]setup'!$D$19*(10^-R38)^3)+2*('[1]setup'!$D$20*'[1]setup'!$D$19*((10^-R38)^2))+('[1]setup'!$D$21*'[1]setup'!$D$19*10^-R38)+('[1]setup'!$D$19*'[1]setup'!$D$22*(AP38/(10^6*2))*(10^-R38)^3))*10^6</f>
        <v>0.0010888303827348434</v>
      </c>
      <c r="BN38" s="103">
        <f t="shared" si="46"/>
        <v>17.008881135718667</v>
      </c>
      <c r="BO38" s="114">
        <f>(BN38/((('[1]setup'!$C$26)/10^-R38)+2*(('[1]setup'!$C$26*'[1]setup'!$C$27)/(10^-R38^2))+3*(('[1]setup'!$C$26*'[1]setup'!$C$27*'[1]setup'!$C$28)/(10^-R38^3))))/(10^-R38^3/(10^-R38^3+'[1]setup'!$C$26*10^-R38^2+'[1]setup'!$C$26*'[1]setup'!$C$27*10^-R38+'[1]setup'!$C$26*'[1]setup'!$C$27*'[1]setup'!$C$28))</f>
        <v>7.385496137187012</v>
      </c>
      <c r="BP38" s="113"/>
      <c r="BQ38" s="111">
        <f t="shared" si="0"/>
        <v>153.08878802357063</v>
      </c>
      <c r="BR38" s="111">
        <f t="shared" si="1"/>
        <v>120.4375</v>
      </c>
      <c r="BS38" s="111">
        <f t="shared" si="2"/>
        <v>1.271105660808059</v>
      </c>
      <c r="BT38" s="111">
        <f t="shared" si="3"/>
        <v>31.00843088071349</v>
      </c>
      <c r="BU38" s="111">
        <f t="shared" si="4"/>
        <v>1.3479132177398272</v>
      </c>
    </row>
    <row r="39" spans="1:73" ht="12.75">
      <c r="A39" s="29">
        <v>38980</v>
      </c>
      <c r="B39" t="s">
        <v>37</v>
      </c>
      <c r="C39">
        <v>869330</v>
      </c>
      <c r="E39" s="61">
        <v>0.006</v>
      </c>
      <c r="F39" s="61">
        <v>0.002</v>
      </c>
      <c r="G39" s="61">
        <v>0.041</v>
      </c>
      <c r="H39" s="61">
        <v>2.97</v>
      </c>
      <c r="I39" s="61">
        <v>0.018</v>
      </c>
      <c r="J39" s="61">
        <v>0.08</v>
      </c>
      <c r="K39" s="61">
        <v>0.005</v>
      </c>
      <c r="L39" s="61">
        <v>0.2</v>
      </c>
      <c r="M39" s="61">
        <v>0.59</v>
      </c>
      <c r="N39" s="61">
        <v>0.37</v>
      </c>
      <c r="O39" s="61">
        <v>2.79</v>
      </c>
      <c r="P39" s="61">
        <v>0.68</v>
      </c>
      <c r="Q39" s="61">
        <v>2.618</v>
      </c>
      <c r="R39" s="61">
        <v>6.02</v>
      </c>
      <c r="S39" s="61">
        <v>20.8</v>
      </c>
      <c r="T39" s="61">
        <v>22.591</v>
      </c>
      <c r="U39" s="61">
        <v>0.05</v>
      </c>
      <c r="V39" s="61">
        <v>0.69</v>
      </c>
      <c r="W39" s="61">
        <v>0.002</v>
      </c>
      <c r="X39" s="101">
        <v>0.003</v>
      </c>
      <c r="Y39" s="61">
        <v>1.5</v>
      </c>
      <c r="Z39" s="61">
        <v>0.17</v>
      </c>
      <c r="AA39" s="61">
        <v>0.07200000000000001</v>
      </c>
      <c r="AB39" s="61"/>
      <c r="AC39" s="61"/>
      <c r="AE39" s="112">
        <f t="shared" si="5"/>
        <v>0.2142857142857143</v>
      </c>
      <c r="AF39" s="112">
        <f t="shared" si="6"/>
        <v>0.07272727272727272</v>
      </c>
      <c r="AG39" s="112">
        <f t="shared" si="7"/>
        <v>4.555555555555555</v>
      </c>
      <c r="AH39" s="112">
        <f t="shared" si="8"/>
        <v>424.28571428571433</v>
      </c>
      <c r="AI39" s="112">
        <f t="shared" si="9"/>
        <v>1.2857142857142856</v>
      </c>
      <c r="AJ39" s="112">
        <f t="shared" si="10"/>
        <v>5.714285714285714</v>
      </c>
      <c r="AK39" s="112">
        <f t="shared" si="11"/>
        <v>0.4838709677419355</v>
      </c>
      <c r="AL39" s="112">
        <f t="shared" si="12"/>
        <v>5.128205128205129</v>
      </c>
      <c r="AM39" s="112">
        <f t="shared" si="13"/>
        <v>29.5</v>
      </c>
      <c r="AN39" s="112">
        <f t="shared" si="14"/>
        <v>30.833333333333336</v>
      </c>
      <c r="AO39" s="112">
        <f t="shared" si="15"/>
        <v>121.30434782608695</v>
      </c>
      <c r="AP39" s="112">
        <f t="shared" si="16"/>
        <v>42.5</v>
      </c>
      <c r="AQ39" s="112">
        <f t="shared" si="17"/>
        <v>74.8</v>
      </c>
      <c r="AR39" s="103">
        <f t="shared" si="36"/>
        <v>0.9549925860214369</v>
      </c>
      <c r="AS39" s="112">
        <f t="shared" si="18"/>
        <v>4.838709677419355</v>
      </c>
      <c r="AT39" s="112">
        <f t="shared" si="19"/>
        <v>43.125</v>
      </c>
      <c r="AU39" s="112">
        <f t="shared" si="20"/>
        <v>0.06349206349206349</v>
      </c>
      <c r="AV39" s="112">
        <f t="shared" si="21"/>
        <v>0.09230769230769231</v>
      </c>
      <c r="AW39" s="103">
        <f t="shared" si="24"/>
        <v>12.142857142857144</v>
      </c>
      <c r="AX39" s="103">
        <f aca="true" t="shared" si="47" ref="AX39:AX52">AW39-(AI39+AJ39)</f>
        <v>5.142857142857144</v>
      </c>
      <c r="AY39" s="103"/>
      <c r="AZ39" s="103">
        <f t="shared" si="37"/>
        <v>7</v>
      </c>
      <c r="BA39" s="113"/>
      <c r="BB39" s="113"/>
      <c r="BC39" s="112">
        <f t="shared" si="39"/>
        <v>188.0516005733397</v>
      </c>
      <c r="BD39" s="112">
        <f t="shared" si="40"/>
        <v>123.0142857142857</v>
      </c>
      <c r="BE39" s="96">
        <f t="shared" si="41"/>
        <v>20.90789049073597</v>
      </c>
      <c r="BF39" s="114">
        <f>(('[1]setup'!$B$13*'[1]setup'!$B$14*'[1]setup'!$B$15)/10^(-R39))*10^6</f>
        <v>12.416345920775552</v>
      </c>
      <c r="BG39" s="115">
        <f t="shared" si="38"/>
        <v>13.786400751939619</v>
      </c>
      <c r="BH39" s="114">
        <f t="shared" si="42"/>
        <v>65.03731485905399</v>
      </c>
      <c r="BI39" s="114">
        <f t="shared" si="43"/>
        <v>189.00659315936113</v>
      </c>
      <c r="BJ39" s="114">
        <f t="shared" si="44"/>
        <v>149.21703238700087</v>
      </c>
      <c r="BK39" s="18">
        <f t="shared" si="45"/>
        <v>11.76427598991192</v>
      </c>
      <c r="BL39" s="96"/>
      <c r="BM39" s="112">
        <f>(3*('[1]setup'!$D$19*(10^-R39)^3)+2*('[1]setup'!$D$20*'[1]setup'!$D$19*((10^-R39)^2))+('[1]setup'!$D$21*'[1]setup'!$D$19*10^-R39)+('[1]setup'!$D$19*'[1]setup'!$D$22*(AP39/(10^6*2))*(10^-R39)^3))*10^6</f>
        <v>0.0016889427472550989</v>
      </c>
      <c r="BN39" s="103">
        <f t="shared" si="46"/>
        <v>53.577650467047135</v>
      </c>
      <c r="BO39" s="114">
        <f>(BN39/((('[1]setup'!$C$26)/10^-R39)+2*(('[1]setup'!$C$26*'[1]setup'!$C$27)/(10^-R39^2))+3*(('[1]setup'!$C$26*'[1]setup'!$C$27*'[1]setup'!$C$28)/(10^-R39^3))))/(10^-R39^3/(10^-R39^3+'[1]setup'!$C$26*10^-R39^2+'[1]setup'!$C$26*'[1]setup'!$C$27*10^-R39+'[1]setup'!$C$26*'[1]setup'!$C$27*'[1]setup'!$C$28))</f>
        <v>23.937397031594145</v>
      </c>
      <c r="BP39" s="113"/>
      <c r="BQ39" s="111">
        <f t="shared" si="0"/>
        <v>188.05160057333973</v>
      </c>
      <c r="BR39" s="111">
        <f t="shared" si="1"/>
        <v>123.0142857142857</v>
      </c>
      <c r="BS39" s="111">
        <f t="shared" si="2"/>
        <v>1.5286972523671793</v>
      </c>
      <c r="BT39" s="111">
        <f t="shared" si="3"/>
        <v>63.751600573339715</v>
      </c>
      <c r="BU39" s="111">
        <f t="shared" si="4"/>
        <v>1.6217158800279006</v>
      </c>
    </row>
    <row r="40" spans="1:73" ht="12.75">
      <c r="A40" s="29">
        <v>39021</v>
      </c>
      <c r="B40" t="s">
        <v>37</v>
      </c>
      <c r="C40">
        <v>873150</v>
      </c>
      <c r="E40" s="61">
        <v>0.006</v>
      </c>
      <c r="F40" s="61">
        <v>0.002</v>
      </c>
      <c r="G40" s="61">
        <v>0.02228</v>
      </c>
      <c r="H40" s="61">
        <v>3.252</v>
      </c>
      <c r="I40" s="61">
        <v>0.012</v>
      </c>
      <c r="J40" s="61">
        <v>0.079</v>
      </c>
      <c r="K40" s="61">
        <v>0.005</v>
      </c>
      <c r="L40" s="61">
        <v>0.3202</v>
      </c>
      <c r="M40" s="61">
        <v>0.343</v>
      </c>
      <c r="N40" s="61">
        <v>0.3447</v>
      </c>
      <c r="O40" s="61">
        <v>3.157</v>
      </c>
      <c r="P40" s="61">
        <v>0.665</v>
      </c>
      <c r="Q40" s="61">
        <v>2.696</v>
      </c>
      <c r="R40" s="61">
        <v>5.98</v>
      </c>
      <c r="S40" s="61">
        <v>18.6</v>
      </c>
      <c r="T40" s="61">
        <v>21.535</v>
      </c>
      <c r="U40" s="61">
        <v>0.05</v>
      </c>
      <c r="V40" s="61">
        <v>1.16</v>
      </c>
      <c r="W40" s="61">
        <v>0.002</v>
      </c>
      <c r="X40" s="101">
        <v>0.002</v>
      </c>
      <c r="Y40" s="61">
        <v>1.9</v>
      </c>
      <c r="Z40" s="61">
        <v>0.18</v>
      </c>
      <c r="AA40" s="61">
        <v>0.089</v>
      </c>
      <c r="AB40" s="61"/>
      <c r="AC40" s="61"/>
      <c r="AE40" s="112">
        <f t="shared" si="5"/>
        <v>0.2142857142857143</v>
      </c>
      <c r="AF40" s="112">
        <f t="shared" si="6"/>
        <v>0.07272727272727272</v>
      </c>
      <c r="AG40" s="112">
        <f t="shared" si="7"/>
        <v>2.4755555555555553</v>
      </c>
      <c r="AH40" s="112">
        <f t="shared" si="8"/>
        <v>464.5714285714285</v>
      </c>
      <c r="AI40" s="112">
        <f t="shared" si="9"/>
        <v>0.8571428571428572</v>
      </c>
      <c r="AJ40" s="112">
        <f t="shared" si="10"/>
        <v>5.642857142857143</v>
      </c>
      <c r="AK40" s="112">
        <f t="shared" si="11"/>
        <v>0.4838709677419355</v>
      </c>
      <c r="AL40" s="112">
        <f t="shared" si="12"/>
        <v>8.21025641025641</v>
      </c>
      <c r="AM40" s="112">
        <f t="shared" si="13"/>
        <v>17.150000000000002</v>
      </c>
      <c r="AN40" s="112">
        <f t="shared" si="14"/>
        <v>28.725</v>
      </c>
      <c r="AO40" s="112">
        <f t="shared" si="15"/>
        <v>137.26086956521738</v>
      </c>
      <c r="AP40" s="112">
        <f t="shared" si="16"/>
        <v>41.5625</v>
      </c>
      <c r="AQ40" s="112">
        <f t="shared" si="17"/>
        <v>77.02857142857144</v>
      </c>
      <c r="AR40" s="103">
        <f t="shared" si="36"/>
        <v>1.0471285480508985</v>
      </c>
      <c r="AS40" s="112">
        <f t="shared" si="18"/>
        <v>4.838709677419355</v>
      </c>
      <c r="AT40" s="112">
        <f t="shared" si="19"/>
        <v>72.5</v>
      </c>
      <c r="AU40" s="112">
        <f t="shared" si="20"/>
        <v>0.06349206349206349</v>
      </c>
      <c r="AV40" s="112">
        <f t="shared" si="21"/>
        <v>0.061538461538461535</v>
      </c>
      <c r="AW40" s="103">
        <f t="shared" si="24"/>
        <v>12.857142857142858</v>
      </c>
      <c r="AX40" s="103">
        <f t="shared" si="47"/>
        <v>6.357142857142858</v>
      </c>
      <c r="AY40" s="103"/>
      <c r="AZ40" s="103">
        <f t="shared" si="37"/>
        <v>6.5</v>
      </c>
      <c r="BA40" s="113"/>
      <c r="BB40" s="113"/>
      <c r="BC40" s="112">
        <f t="shared" si="39"/>
        <v>192.20326883261666</v>
      </c>
      <c r="BD40" s="112">
        <f t="shared" si="40"/>
        <v>124.23392857142858</v>
      </c>
      <c r="BE40" s="96">
        <f t="shared" si="41"/>
        <v>21.479567136476977</v>
      </c>
      <c r="BF40" s="114">
        <f>(('[1]setup'!$B$13*'[1]setup'!$B$14*'[1]setup'!$B$15)/10^(-R40))*10^6</f>
        <v>11.323842064939843</v>
      </c>
      <c r="BG40" s="115">
        <f t="shared" si="38"/>
        <v>17.387221970573037</v>
      </c>
      <c r="BH40" s="114">
        <f t="shared" si="42"/>
        <v>67.96934026118808</v>
      </c>
      <c r="BI40" s="114">
        <f t="shared" si="43"/>
        <v>193.25039738066755</v>
      </c>
      <c r="BJ40" s="114">
        <f t="shared" si="44"/>
        <v>152.94499260694144</v>
      </c>
      <c r="BK40" s="18">
        <f t="shared" si="45"/>
        <v>11.642386334251508</v>
      </c>
      <c r="BL40" s="96"/>
      <c r="BM40" s="112">
        <f>(3*('[1]setup'!$D$19*(10^-R40)^3)+2*('[1]setup'!$D$20*'[1]setup'!$D$19*((10^-R40)^2))+('[1]setup'!$D$21*'[1]setup'!$D$19*10^-R40)+('[1]setup'!$D$19*'[1]setup'!$D$22*(AP40/(10^6*2))*(10^-R40)^3))*10^6</f>
        <v>0.001972376734404703</v>
      </c>
      <c r="BN40" s="103">
        <f t="shared" si="46"/>
        <v>57.69459912103355</v>
      </c>
      <c r="BO40" s="114">
        <f>(BN40/((('[1]setup'!$C$26)/10^-R40)+2*(('[1]setup'!$C$26*'[1]setup'!$C$27)/(10^-R40^2))+3*(('[1]setup'!$C$26*'[1]setup'!$C$27*'[1]setup'!$C$28)/(10^-R40^3))))/(10^-R40^3/(10^-R40^3+'[1]setup'!$C$26*10^-R40^2+'[1]setup'!$C$26*'[1]setup'!$C$27*10^-R40+'[1]setup'!$C$26*'[1]setup'!$C$27*'[1]setup'!$C$28))</f>
        <v>26.01554086177337</v>
      </c>
      <c r="BP40" s="113"/>
      <c r="BQ40" s="111">
        <f t="shared" si="0"/>
        <v>192.20326883261663</v>
      </c>
      <c r="BR40" s="111">
        <f t="shared" si="1"/>
        <v>124.23392857142858</v>
      </c>
      <c r="BS40" s="111">
        <f t="shared" si="2"/>
        <v>1.5471077107741056</v>
      </c>
      <c r="BT40" s="111">
        <f t="shared" si="3"/>
        <v>67.11219740404522</v>
      </c>
      <c r="BU40" s="111">
        <f t="shared" si="4"/>
        <v>1.7819474906463677</v>
      </c>
    </row>
    <row r="41" spans="1:73" ht="12.75">
      <c r="A41" s="29">
        <v>39126</v>
      </c>
      <c r="B41" t="s">
        <v>37</v>
      </c>
      <c r="C41">
        <v>884448</v>
      </c>
      <c r="E41" s="61">
        <v>0.006</v>
      </c>
      <c r="F41" s="61">
        <v>0.002</v>
      </c>
      <c r="G41" s="61">
        <v>0.02</v>
      </c>
      <c r="H41" s="61">
        <v>2.83</v>
      </c>
      <c r="I41" s="61">
        <v>0.01</v>
      </c>
      <c r="J41" s="61">
        <v>0.063</v>
      </c>
      <c r="K41" s="61">
        <v>0.005</v>
      </c>
      <c r="L41" s="61">
        <v>0.16</v>
      </c>
      <c r="M41" s="61">
        <v>0.48</v>
      </c>
      <c r="N41" s="61">
        <v>0.36</v>
      </c>
      <c r="O41" s="61">
        <v>2.69</v>
      </c>
      <c r="P41" s="61">
        <v>0.691</v>
      </c>
      <c r="Q41" s="61">
        <v>2.794</v>
      </c>
      <c r="R41" s="61">
        <v>6.47</v>
      </c>
      <c r="S41" s="61">
        <v>18.7</v>
      </c>
      <c r="T41" s="61">
        <v>21.876</v>
      </c>
      <c r="U41" s="61">
        <v>0.05</v>
      </c>
      <c r="V41" s="61">
        <v>0.73</v>
      </c>
      <c r="W41" s="61">
        <v>0.004</v>
      </c>
      <c r="X41" s="101">
        <v>0.002</v>
      </c>
      <c r="Y41" s="61">
        <v>0.6</v>
      </c>
      <c r="Z41" s="61">
        <v>0.1</v>
      </c>
      <c r="AA41" s="61">
        <v>0.02700000000000001</v>
      </c>
      <c r="AB41" s="61"/>
      <c r="AC41" s="61"/>
      <c r="AE41" s="112">
        <f t="shared" si="5"/>
        <v>0.2142857142857143</v>
      </c>
      <c r="AF41" s="112">
        <f t="shared" si="6"/>
        <v>0.07272727272727272</v>
      </c>
      <c r="AG41" s="112">
        <f t="shared" si="7"/>
        <v>2.2222222222222223</v>
      </c>
      <c r="AH41" s="112">
        <f t="shared" si="8"/>
        <v>404.2857142857143</v>
      </c>
      <c r="AI41" s="112">
        <f t="shared" si="9"/>
        <v>0.7142857142857143</v>
      </c>
      <c r="AJ41" s="112">
        <f t="shared" si="10"/>
        <v>4.5</v>
      </c>
      <c r="AK41" s="112">
        <f t="shared" si="11"/>
        <v>0.4838709677419355</v>
      </c>
      <c r="AL41" s="112">
        <f t="shared" si="12"/>
        <v>4.102564102564102</v>
      </c>
      <c r="AM41" s="112">
        <f t="shared" si="13"/>
        <v>24</v>
      </c>
      <c r="AN41" s="112">
        <f t="shared" si="14"/>
        <v>30</v>
      </c>
      <c r="AO41" s="112">
        <f t="shared" si="15"/>
        <v>116.95652173913044</v>
      </c>
      <c r="AP41" s="112">
        <f t="shared" si="16"/>
        <v>43.1875</v>
      </c>
      <c r="AQ41" s="112">
        <f t="shared" si="17"/>
        <v>79.82857142857144</v>
      </c>
      <c r="AR41" s="103">
        <f t="shared" si="36"/>
        <v>0.3388441561392027</v>
      </c>
      <c r="AS41" s="112">
        <f t="shared" si="18"/>
        <v>4.838709677419355</v>
      </c>
      <c r="AT41" s="112">
        <f t="shared" si="19"/>
        <v>45.625</v>
      </c>
      <c r="AU41" s="112">
        <f t="shared" si="20"/>
        <v>0.12698412698412698</v>
      </c>
      <c r="AV41" s="112">
        <f t="shared" si="21"/>
        <v>0.061538461538461535</v>
      </c>
      <c r="AW41" s="103">
        <f t="shared" si="24"/>
        <v>7.142857142857143</v>
      </c>
      <c r="AX41" s="103">
        <f t="shared" si="47"/>
        <v>1.9285714285714288</v>
      </c>
      <c r="AY41" s="103"/>
      <c r="AZ41" s="103">
        <f t="shared" si="37"/>
        <v>5.214285714285714</v>
      </c>
      <c r="BA41" s="113"/>
      <c r="BB41" s="113"/>
      <c r="BC41" s="112">
        <f t="shared" si="39"/>
        <v>175.77337155598025</v>
      </c>
      <c r="BD41" s="112">
        <f t="shared" si="40"/>
        <v>127.51607142857144</v>
      </c>
      <c r="BE41" s="96">
        <f t="shared" si="41"/>
        <v>15.911302303346853</v>
      </c>
      <c r="BF41" s="114">
        <f>(('[1]setup'!$B$13*'[1]setup'!$B$14*'[1]setup'!$B$15)/10^(-R41))*10^6</f>
        <v>34.99401741178882</v>
      </c>
      <c r="BG41" s="115">
        <f t="shared" si="38"/>
        <v>5.725683315096571</v>
      </c>
      <c r="BH41" s="114">
        <f t="shared" si="42"/>
        <v>48.25730012740881</v>
      </c>
      <c r="BI41" s="114">
        <f t="shared" si="43"/>
        <v>176.11221571211945</v>
      </c>
      <c r="BJ41" s="114">
        <f t="shared" si="44"/>
        <v>168.2357721554568</v>
      </c>
      <c r="BK41" s="18">
        <f t="shared" si="45"/>
        <v>2.287349958232265</v>
      </c>
      <c r="BL41" s="96"/>
      <c r="BM41" s="112">
        <f>(3*('[1]setup'!$D$19*(10^-R41)^3)+2*('[1]setup'!$D$20*'[1]setup'!$D$19*((10^-R41)^2))+('[1]setup'!$D$21*'[1]setup'!$D$19*10^-R41)+('[1]setup'!$D$19*'[1]setup'!$D$22*(AP41/(10^6*2))*(10^-R41)^3))*10^6</f>
        <v>0.0003830521798489491</v>
      </c>
      <c r="BN41" s="103">
        <f t="shared" si="46"/>
        <v>13.602509923939039</v>
      </c>
      <c r="BO41" s="114">
        <f>(BN41/((('[1]setup'!$C$26)/10^-R41)+2*(('[1]setup'!$C$26*'[1]setup'!$C$27)/(10^-R41^2))+3*(('[1]setup'!$C$26*'[1]setup'!$C$27*'[1]setup'!$C$28)/(10^-R41^3))))/(10^-R41^3/(10^-R41^3+'[1]setup'!$C$26*10^-R41^2+'[1]setup'!$C$26*'[1]setup'!$C$27*10^-R41+'[1]setup'!$C$26*'[1]setup'!$C$27*'[1]setup'!$C$28))</f>
        <v>5.4461558531446475</v>
      </c>
      <c r="BP41" s="113"/>
      <c r="BQ41" s="111">
        <f t="shared" si="0"/>
        <v>175.77337155598025</v>
      </c>
      <c r="BR41" s="111">
        <f t="shared" si="1"/>
        <v>127.51607142857144</v>
      </c>
      <c r="BS41" s="111">
        <f t="shared" si="2"/>
        <v>1.3784409258125576</v>
      </c>
      <c r="BT41" s="111">
        <f t="shared" si="3"/>
        <v>47.54301441312309</v>
      </c>
      <c r="BU41" s="111">
        <f t="shared" si="4"/>
        <v>1.465096013195979</v>
      </c>
    </row>
    <row r="42" spans="1:73" ht="12.75">
      <c r="A42" s="29">
        <v>39140</v>
      </c>
      <c r="B42" t="s">
        <v>37</v>
      </c>
      <c r="C42">
        <v>885316</v>
      </c>
      <c r="E42" s="61">
        <v>0.006</v>
      </c>
      <c r="F42" s="61">
        <v>0.002</v>
      </c>
      <c r="G42" s="61">
        <v>0.043</v>
      </c>
      <c r="H42" s="61">
        <v>2.5</v>
      </c>
      <c r="I42" s="61">
        <v>0.01</v>
      </c>
      <c r="J42" s="61">
        <v>0.061</v>
      </c>
      <c r="K42" s="61">
        <v>0.006</v>
      </c>
      <c r="L42" s="61">
        <v>0.2</v>
      </c>
      <c r="M42" s="61">
        <v>0.47</v>
      </c>
      <c r="N42" s="61">
        <v>0.29</v>
      </c>
      <c r="O42" s="61">
        <v>2.14</v>
      </c>
      <c r="P42" s="61">
        <v>0.607</v>
      </c>
      <c r="Q42" s="61">
        <v>2.881</v>
      </c>
      <c r="R42" s="61">
        <v>5.96</v>
      </c>
      <c r="S42" s="61">
        <v>19.1</v>
      </c>
      <c r="T42" s="61">
        <v>21.212</v>
      </c>
      <c r="U42" s="61">
        <v>0.07</v>
      </c>
      <c r="V42" s="61">
        <v>0.6</v>
      </c>
      <c r="W42" s="61">
        <v>0.002</v>
      </c>
      <c r="X42" s="101">
        <v>0.002</v>
      </c>
      <c r="Y42" s="61">
        <v>1.1</v>
      </c>
      <c r="Z42" s="61">
        <v>0.09</v>
      </c>
      <c r="AA42" s="61">
        <v>0.019000000000000003</v>
      </c>
      <c r="AB42" s="61"/>
      <c r="AC42" s="61"/>
      <c r="AE42" s="112">
        <f t="shared" si="5"/>
        <v>0.2142857142857143</v>
      </c>
      <c r="AF42" s="112">
        <f t="shared" si="6"/>
        <v>0.07272727272727272</v>
      </c>
      <c r="AG42" s="112">
        <f t="shared" si="7"/>
        <v>4.777777777777778</v>
      </c>
      <c r="AH42" s="112">
        <f t="shared" si="8"/>
        <v>357.14285714285717</v>
      </c>
      <c r="AI42" s="112">
        <f t="shared" si="9"/>
        <v>0.7142857142857143</v>
      </c>
      <c r="AJ42" s="112">
        <f t="shared" si="10"/>
        <v>4.357142857142857</v>
      </c>
      <c r="AK42" s="112">
        <f t="shared" si="11"/>
        <v>0.5806451612903225</v>
      </c>
      <c r="AL42" s="112">
        <f t="shared" si="12"/>
        <v>5.128205128205129</v>
      </c>
      <c r="AM42" s="112">
        <f t="shared" si="13"/>
        <v>23.5</v>
      </c>
      <c r="AN42" s="112">
        <f t="shared" si="14"/>
        <v>24.166666666666668</v>
      </c>
      <c r="AO42" s="112">
        <f t="shared" si="15"/>
        <v>93.04347826086958</v>
      </c>
      <c r="AP42" s="112">
        <f t="shared" si="16"/>
        <v>37.9375</v>
      </c>
      <c r="AQ42" s="112">
        <f t="shared" si="17"/>
        <v>82.31428571428572</v>
      </c>
      <c r="AR42" s="103">
        <f t="shared" si="36"/>
        <v>1.096478196143185</v>
      </c>
      <c r="AS42" s="112">
        <f t="shared" si="18"/>
        <v>6.774193548387098</v>
      </c>
      <c r="AT42" s="112">
        <f t="shared" si="19"/>
        <v>37.5</v>
      </c>
      <c r="AU42" s="112">
        <f t="shared" si="20"/>
        <v>0.06349206349206349</v>
      </c>
      <c r="AV42" s="112">
        <f t="shared" si="21"/>
        <v>0.061538461538461535</v>
      </c>
      <c r="AW42" s="103">
        <f t="shared" si="24"/>
        <v>6.428571428571429</v>
      </c>
      <c r="AX42" s="103">
        <f t="shared" si="47"/>
        <v>1.3571428571428577</v>
      </c>
      <c r="AY42" s="103"/>
      <c r="AZ42" s="103">
        <f t="shared" si="37"/>
        <v>5.071428571428571</v>
      </c>
      <c r="BA42" s="113"/>
      <c r="BB42" s="113"/>
      <c r="BC42" s="112">
        <f t="shared" si="39"/>
        <v>146.5526357700271</v>
      </c>
      <c r="BD42" s="112">
        <f t="shared" si="40"/>
        <v>124.60892857142858</v>
      </c>
      <c r="BE42" s="96">
        <f t="shared" si="41"/>
        <v>8.092484365138963</v>
      </c>
      <c r="BF42" s="114">
        <f>(('[1]setup'!$B$13*'[1]setup'!$B$14*'[1]setup'!$B$15)/10^(-R42))*10^6</f>
        <v>10.814185217295218</v>
      </c>
      <c r="BG42" s="115">
        <f t="shared" si="38"/>
        <v>10.043786094868404</v>
      </c>
      <c r="BH42" s="114">
        <f t="shared" si="42"/>
        <v>21.94370719859853</v>
      </c>
      <c r="BI42" s="114">
        <f t="shared" si="43"/>
        <v>147.6491139661703</v>
      </c>
      <c r="BJ42" s="114">
        <f t="shared" si="44"/>
        <v>145.4668998835922</v>
      </c>
      <c r="BK42" s="18">
        <f t="shared" si="45"/>
        <v>0.7444881819717295</v>
      </c>
      <c r="BL42" s="96"/>
      <c r="BM42" s="112">
        <f>(3*('[1]setup'!$D$19*(10^-R42)^3)+2*('[1]setup'!$D$20*'[1]setup'!$D$19*((10^-R42)^2))+('[1]setup'!$D$21*'[1]setup'!$D$19*10^-R42)+('[1]setup'!$D$19*'[1]setup'!$D$22*(AP42/(10^6*2))*(10^-R42)^3))*10^6</f>
        <v>0.0021350412306946702</v>
      </c>
      <c r="BN42" s="103">
        <f t="shared" si="46"/>
        <v>12.228135218677181</v>
      </c>
      <c r="BO42" s="114">
        <f>(BN42/((('[1]setup'!$C$26)/10^-R42)+2*(('[1]setup'!$C$26*'[1]setup'!$C$27)/(10^-R42^2))+3*(('[1]setup'!$C$26*'[1]setup'!$C$27*'[1]setup'!$C$28)/(10^-R42^3))))/(10^-R42^3/(10^-R42^3+'[1]setup'!$C$26*10^-R42^2+'[1]setup'!$C$26*'[1]setup'!$C$27*10^-R42+'[1]setup'!$C$26*'[1]setup'!$C$27*'[1]setup'!$C$28))</f>
        <v>5.539038675658124</v>
      </c>
      <c r="BP42" s="113"/>
      <c r="BQ42" s="111">
        <f t="shared" si="0"/>
        <v>146.55263577002708</v>
      </c>
      <c r="BR42" s="111">
        <f t="shared" si="1"/>
        <v>124.60892857142858</v>
      </c>
      <c r="BS42" s="111">
        <f t="shared" si="2"/>
        <v>1.1761006008973096</v>
      </c>
      <c r="BT42" s="111">
        <f t="shared" si="3"/>
        <v>21.22942148431281</v>
      </c>
      <c r="BU42" s="111">
        <f t="shared" si="4"/>
        <v>1.1303442343389223</v>
      </c>
    </row>
    <row r="43" spans="1:73" ht="12.75">
      <c r="A43" s="29">
        <v>39168</v>
      </c>
      <c r="B43" t="s">
        <v>37</v>
      </c>
      <c r="C43">
        <v>886502</v>
      </c>
      <c r="E43" s="61">
        <v>0.0119</v>
      </c>
      <c r="F43" s="61">
        <v>0.002</v>
      </c>
      <c r="G43" s="61">
        <v>0.02</v>
      </c>
      <c r="H43" s="61">
        <v>2.781</v>
      </c>
      <c r="I43" s="61">
        <v>0.01</v>
      </c>
      <c r="J43" s="61">
        <v>0.08957</v>
      </c>
      <c r="K43" s="61">
        <v>0.007</v>
      </c>
      <c r="L43" s="61">
        <v>0.2543</v>
      </c>
      <c r="M43" s="61">
        <v>0.5352</v>
      </c>
      <c r="N43" s="61">
        <v>0.3767</v>
      </c>
      <c r="O43" s="61">
        <v>3.267</v>
      </c>
      <c r="P43" s="61">
        <v>0.7103</v>
      </c>
      <c r="Q43" s="61">
        <v>3.089</v>
      </c>
      <c r="R43" s="61">
        <v>6.07</v>
      </c>
      <c r="S43" s="61">
        <v>18.8</v>
      </c>
      <c r="T43" s="61">
        <v>22.592</v>
      </c>
      <c r="U43" s="61">
        <v>0.05</v>
      </c>
      <c r="V43" s="61">
        <v>0.7199</v>
      </c>
      <c r="W43" s="61">
        <v>0.002</v>
      </c>
      <c r="X43" s="101">
        <v>0.002</v>
      </c>
      <c r="Y43" s="61">
        <v>0.8548</v>
      </c>
      <c r="Z43" s="61">
        <v>0.2054</v>
      </c>
      <c r="AA43" s="61">
        <v>0.10583000000000001</v>
      </c>
      <c r="AB43" s="61"/>
      <c r="AC43" s="61"/>
      <c r="AE43" s="112">
        <f t="shared" si="5"/>
        <v>0.42500000000000004</v>
      </c>
      <c r="AF43" s="112">
        <f t="shared" si="6"/>
        <v>0.07272727272727272</v>
      </c>
      <c r="AG43" s="112">
        <f t="shared" si="7"/>
        <v>2.2222222222222223</v>
      </c>
      <c r="AH43" s="112">
        <f t="shared" si="8"/>
        <v>397.2857142857143</v>
      </c>
      <c r="AI43" s="112">
        <f t="shared" si="9"/>
        <v>0.7142857142857143</v>
      </c>
      <c r="AJ43" s="112">
        <f t="shared" si="10"/>
        <v>6.397857142857142</v>
      </c>
      <c r="AK43" s="112">
        <f t="shared" si="11"/>
        <v>0.6774193548387097</v>
      </c>
      <c r="AL43" s="112">
        <f t="shared" si="12"/>
        <v>6.520512820512821</v>
      </c>
      <c r="AM43" s="112">
        <f t="shared" si="13"/>
        <v>26.759999999999998</v>
      </c>
      <c r="AN43" s="112">
        <f t="shared" si="14"/>
        <v>31.391666666666666</v>
      </c>
      <c r="AO43" s="112">
        <f t="shared" si="15"/>
        <v>142.04347826086956</v>
      </c>
      <c r="AP43" s="112">
        <f t="shared" si="16"/>
        <v>44.393750000000004</v>
      </c>
      <c r="AQ43" s="112">
        <f t="shared" si="17"/>
        <v>88.25714285714285</v>
      </c>
      <c r="AR43" s="103">
        <f t="shared" si="36"/>
        <v>0.8511380382023759</v>
      </c>
      <c r="AS43" s="112">
        <f t="shared" si="18"/>
        <v>4.838709677419355</v>
      </c>
      <c r="AT43" s="112">
        <f t="shared" si="19"/>
        <v>44.99375</v>
      </c>
      <c r="AU43" s="112">
        <f t="shared" si="20"/>
        <v>0.06349206349206349</v>
      </c>
      <c r="AV43" s="112">
        <f t="shared" si="21"/>
        <v>0.061538461538461535</v>
      </c>
      <c r="AW43" s="103">
        <f t="shared" si="24"/>
        <v>14.67142857142857</v>
      </c>
      <c r="AX43" s="103">
        <f t="shared" si="47"/>
        <v>7.559285714285714</v>
      </c>
      <c r="AY43" s="103"/>
      <c r="AZ43" s="103">
        <f t="shared" si="37"/>
        <v>7.112142857142857</v>
      </c>
      <c r="BA43" s="113"/>
      <c r="BB43" s="113"/>
      <c r="BC43" s="112">
        <f>AL43+AM43+AN43+AO43+AI43</f>
        <v>207.42994346233476</v>
      </c>
      <c r="BD43" s="112">
        <f>AJ43+AP43+AQ43</f>
        <v>139.04874999999998</v>
      </c>
      <c r="BE43" s="96">
        <f>ABS(BC43-BD43)/(BC43+BD43)*100</f>
        <v>19.73604575190665</v>
      </c>
      <c r="BF43" s="114">
        <f>(('[1]setup'!$B$13*'[1]setup'!$B$14*'[1]setup'!$B$15)/10^(-R43))*10^6</f>
        <v>13.931369258107093</v>
      </c>
      <c r="BG43" s="115">
        <f t="shared" si="38"/>
        <v>7.897096862532428</v>
      </c>
      <c r="BH43" s="114">
        <f>(AM43+AN43+AO43+AL43+AI43)-(AP43+AQ43+AJ43)</f>
        <v>68.3811934623348</v>
      </c>
      <c r="BI43" s="114">
        <f>(AM43+AN43+AO43+AL43+AI43)+((10^-R43)*10^6)</f>
        <v>208.28108150053717</v>
      </c>
      <c r="BJ43" s="114">
        <f>(AP43+AQ43+AJ43+BG43+BF43)</f>
        <v>160.8772161206395</v>
      </c>
      <c r="BK43" s="18">
        <f>ABS(BI43-BJ43)/(BI43+BJ43)*100</f>
        <v>12.84106728342935</v>
      </c>
      <c r="BL43" s="96"/>
      <c r="BM43" s="112">
        <f>(3*('[1]setup'!$D$19*(10^-R43)^3)+2*('[1]setup'!$D$20*'[1]setup'!$D$19*((10^-R43)^2))+('[1]setup'!$D$21*'[1]setup'!$D$19*10^-R43)+('[1]setup'!$D$19*'[1]setup'!$D$22*(AP43/(10^6*2))*(10^-R43)^3))*10^6</f>
        <v>0.0014001147767275584</v>
      </c>
      <c r="BN43" s="103">
        <f>(AM43+AN43+AO43+AL43+AI43+(10^-R43)*10^6+BM43)-(AP43+AQ43+AJ43+BF43)</f>
        <v>55.30236235720682</v>
      </c>
      <c r="BO43" s="114">
        <f>(BN43/((('[1]setup'!$C$26)/10^-R43)+2*(('[1]setup'!$C$26*'[1]setup'!$C$27)/(10^-R43^2))+3*(('[1]setup'!$C$26*'[1]setup'!$C$27*'[1]setup'!$C$28)/(10^-R43^3))))/(10^-R43^3/(10^-R43^3+'[1]setup'!$C$26*10^-R43^2+'[1]setup'!$C$26*'[1]setup'!$C$27*10^-R43+'[1]setup'!$C$26*'[1]setup'!$C$27*'[1]setup'!$C$28))</f>
        <v>24.419620677932794</v>
      </c>
      <c r="BP43" s="113"/>
      <c r="BQ43" s="111">
        <f t="shared" si="0"/>
        <v>207.42994346233476</v>
      </c>
      <c r="BR43" s="111">
        <f t="shared" si="1"/>
        <v>139.04874999999998</v>
      </c>
      <c r="BS43" s="111">
        <f t="shared" si="2"/>
        <v>1.4917785558110719</v>
      </c>
      <c r="BT43" s="111">
        <f t="shared" si="3"/>
        <v>67.66690774804906</v>
      </c>
      <c r="BU43" s="111">
        <f t="shared" si="4"/>
        <v>1.6094275620363985</v>
      </c>
    </row>
    <row r="44" spans="1:73" ht="12.75">
      <c r="A44" s="29">
        <v>39182</v>
      </c>
      <c r="B44" t="s">
        <v>37</v>
      </c>
      <c r="C44">
        <v>891251</v>
      </c>
      <c r="E44" s="61">
        <v>0.006</v>
      </c>
      <c r="F44" s="61">
        <v>0.002</v>
      </c>
      <c r="G44" s="61">
        <v>0.02</v>
      </c>
      <c r="H44" s="61">
        <v>5.14</v>
      </c>
      <c r="I44" s="61">
        <v>0.01</v>
      </c>
      <c r="J44" s="61">
        <v>0.084</v>
      </c>
      <c r="K44" s="61">
        <v>0.005</v>
      </c>
      <c r="L44" s="61">
        <v>0.267</v>
      </c>
      <c r="M44" s="61">
        <v>0.65</v>
      </c>
      <c r="N44" s="61">
        <v>0.3575</v>
      </c>
      <c r="O44" s="61">
        <v>3.219</v>
      </c>
      <c r="P44" s="61">
        <v>0.727</v>
      </c>
      <c r="Q44" s="61">
        <v>2.763</v>
      </c>
      <c r="R44" s="61">
        <v>6.12</v>
      </c>
      <c r="S44" s="61">
        <v>19.8</v>
      </c>
      <c r="T44" s="61">
        <v>22.668</v>
      </c>
      <c r="U44" s="61">
        <v>0.05</v>
      </c>
      <c r="V44" s="66"/>
      <c r="W44" s="61">
        <v>0.002</v>
      </c>
      <c r="X44" s="101">
        <v>0.002005</v>
      </c>
      <c r="Y44" s="61">
        <v>0.5</v>
      </c>
      <c r="Z44" s="61">
        <v>0.12</v>
      </c>
      <c r="AA44" s="61">
        <v>0.025999999999999995</v>
      </c>
      <c r="AB44" s="61"/>
      <c r="AC44" s="61"/>
      <c r="AE44" s="112">
        <f t="shared" si="5"/>
        <v>0.2142857142857143</v>
      </c>
      <c r="AF44" s="112">
        <f t="shared" si="6"/>
        <v>0.07272727272727272</v>
      </c>
      <c r="AG44" s="112">
        <f t="shared" si="7"/>
        <v>2.2222222222222223</v>
      </c>
      <c r="AH44" s="112">
        <f t="shared" si="8"/>
        <v>734.2857142857142</v>
      </c>
      <c r="AI44" s="112">
        <f t="shared" si="9"/>
        <v>0.7142857142857143</v>
      </c>
      <c r="AJ44" s="112">
        <f t="shared" si="10"/>
        <v>6</v>
      </c>
      <c r="AK44" s="112">
        <f t="shared" si="11"/>
        <v>0.4838709677419355</v>
      </c>
      <c r="AL44" s="112">
        <f t="shared" si="12"/>
        <v>6.846153846153847</v>
      </c>
      <c r="AM44" s="112">
        <f t="shared" si="13"/>
        <v>32.5</v>
      </c>
      <c r="AN44" s="112">
        <f t="shared" si="14"/>
        <v>29.791666666666664</v>
      </c>
      <c r="AO44" s="112">
        <f t="shared" si="15"/>
        <v>139.95652173913044</v>
      </c>
      <c r="AP44" s="112">
        <f t="shared" si="16"/>
        <v>45.4375</v>
      </c>
      <c r="AQ44" s="112">
        <f t="shared" si="17"/>
        <v>78.94285714285714</v>
      </c>
      <c r="AR44" s="103">
        <f t="shared" si="36"/>
        <v>0.7585775750291835</v>
      </c>
      <c r="AS44" s="112">
        <f t="shared" si="18"/>
        <v>4.838709677419355</v>
      </c>
      <c r="AT44" s="112"/>
      <c r="AU44" s="112">
        <f t="shared" si="20"/>
        <v>0.06349206349206349</v>
      </c>
      <c r="AV44" s="112">
        <f t="shared" si="21"/>
        <v>0.061692307692307685</v>
      </c>
      <c r="AW44" s="103">
        <f t="shared" si="24"/>
        <v>8.571428571428571</v>
      </c>
      <c r="AX44" s="103">
        <f t="shared" si="47"/>
        <v>1.8571428571428568</v>
      </c>
      <c r="AY44" s="103"/>
      <c r="AZ44" s="103">
        <f t="shared" si="37"/>
        <v>6.714285714285714</v>
      </c>
      <c r="BA44" s="113"/>
      <c r="BB44" s="113"/>
      <c r="BC44" s="112">
        <f>AL44+AM44+AN44+AO44+AI44</f>
        <v>209.80862796623666</v>
      </c>
      <c r="BD44" s="112">
        <f>AJ44+AP44+AQ44</f>
        <v>130.38035714285712</v>
      </c>
      <c r="BE44" s="96">
        <f>ABS(BC44-BD44)/(BC44+BD44)*100</f>
        <v>23.348278251251436</v>
      </c>
      <c r="BF44" s="114">
        <f>(('[1]setup'!$B$13*'[1]setup'!$B$14*'[1]setup'!$B$15)/10^(-R44))*10^6</f>
        <v>15.631253401291202</v>
      </c>
      <c r="BG44" s="115">
        <f t="shared" si="38"/>
        <v>4.641923072093373</v>
      </c>
      <c r="BH44" s="114">
        <f>(AM44+AN44+AO44+AL44+AI44)-(AP44+AQ44+AJ44)</f>
        <v>79.42827082337953</v>
      </c>
      <c r="BI44" s="114">
        <f>(AM44+AN44+AO44+AL44+AI44)+((10^-R44)*10^6)</f>
        <v>210.56720554126585</v>
      </c>
      <c r="BJ44" s="114">
        <f>(AP44+AQ44+AJ44+BG44+BF44)</f>
        <v>150.65353361624167</v>
      </c>
      <c r="BK44" s="18">
        <f>ABS(BI44-BJ44)/(BI44+BJ44)*100</f>
        <v>16.586442977987286</v>
      </c>
      <c r="BL44" s="96"/>
      <c r="BM44" s="112">
        <f>(3*('[1]setup'!$D$19*(10^-R44)^3)+2*('[1]setup'!$D$20*'[1]setup'!$D$19*((10^-R44)^2))+('[1]setup'!$D$21*'[1]setup'!$D$19*10^-R44)+('[1]setup'!$D$19*'[1]setup'!$D$22*(AP44/(10^6*2))*(10^-R44)^3))*10^6</f>
        <v>0.001168457605655181</v>
      </c>
      <c r="BN44" s="103">
        <f>(AM44+AN44+AO44+AL44+AI44+(10^-R44)*10^6+BM44)-(AP44+AQ44+AJ44+BF44)</f>
        <v>64.55676345472318</v>
      </c>
      <c r="BO44" s="114">
        <f>(BN44/((('[1]setup'!$C$26)/10^-R44)+2*(('[1]setup'!$C$26*'[1]setup'!$C$27)/(10^-R44^2))+3*(('[1]setup'!$C$26*'[1]setup'!$C$27*'[1]setup'!$C$28)/(10^-R44^3))))/(10^-R44^3/(10^-R44^3+'[1]setup'!$C$26*10^-R44^2+'[1]setup'!$C$26*'[1]setup'!$C$27*10^-R44+'[1]setup'!$C$26*'[1]setup'!$C$27*'[1]setup'!$C$28))</f>
        <v>28.167314895805347</v>
      </c>
      <c r="BP44" s="113"/>
      <c r="BQ44" s="111">
        <f t="shared" si="0"/>
        <v>209.80862796623666</v>
      </c>
      <c r="BR44" s="111">
        <f t="shared" si="1"/>
        <v>130.38035714285712</v>
      </c>
      <c r="BS44" s="111">
        <f t="shared" si="2"/>
        <v>1.609204274048355</v>
      </c>
      <c r="BT44" s="111">
        <f t="shared" si="3"/>
        <v>78.71398510909381</v>
      </c>
      <c r="BU44" s="111">
        <f t="shared" si="4"/>
        <v>1.772883916348015</v>
      </c>
    </row>
    <row r="45" spans="1:73" ht="12.75">
      <c r="A45" s="29">
        <v>39196</v>
      </c>
      <c r="B45" t="s">
        <v>37</v>
      </c>
      <c r="C45">
        <v>892434</v>
      </c>
      <c r="E45" s="61">
        <v>0.006</v>
      </c>
      <c r="F45" s="61">
        <v>0.002</v>
      </c>
      <c r="G45" s="61">
        <v>0.02</v>
      </c>
      <c r="H45" s="61">
        <v>5.78</v>
      </c>
      <c r="I45" s="61">
        <v>0.01</v>
      </c>
      <c r="J45" s="61">
        <v>0.051</v>
      </c>
      <c r="K45" s="61">
        <v>0.005</v>
      </c>
      <c r="L45" s="61">
        <v>0.383</v>
      </c>
      <c r="M45" s="61">
        <v>0.66</v>
      </c>
      <c r="N45" s="61">
        <v>0.3458</v>
      </c>
      <c r="O45" s="61">
        <v>4.52</v>
      </c>
      <c r="P45" s="61">
        <v>0.697</v>
      </c>
      <c r="Q45" s="61">
        <v>2.832</v>
      </c>
      <c r="R45" s="61">
        <v>6.27</v>
      </c>
      <c r="S45" s="61">
        <v>21.2</v>
      </c>
      <c r="T45" s="61">
        <v>22.946</v>
      </c>
      <c r="U45" s="61">
        <v>0.05</v>
      </c>
      <c r="V45" s="66"/>
      <c r="W45" s="61">
        <v>0.002</v>
      </c>
      <c r="X45" s="101">
        <v>0.002</v>
      </c>
      <c r="Y45" s="61">
        <v>0.5</v>
      </c>
      <c r="Z45" s="61">
        <v>0.14</v>
      </c>
      <c r="AA45" s="61">
        <v>0.07900000000000001</v>
      </c>
      <c r="AB45" s="61"/>
      <c r="AC45" s="61"/>
      <c r="AE45" s="112">
        <f t="shared" si="5"/>
        <v>0.2142857142857143</v>
      </c>
      <c r="AF45" s="112">
        <f t="shared" si="6"/>
        <v>0.07272727272727272</v>
      </c>
      <c r="AG45" s="112">
        <f t="shared" si="7"/>
        <v>2.2222222222222223</v>
      </c>
      <c r="AH45" s="112">
        <f t="shared" si="8"/>
        <v>825.7142857142858</v>
      </c>
      <c r="AI45" s="112">
        <f t="shared" si="9"/>
        <v>0.7142857142857143</v>
      </c>
      <c r="AJ45" s="112">
        <f t="shared" si="10"/>
        <v>3.6428571428571423</v>
      </c>
      <c r="AK45" s="112">
        <f t="shared" si="11"/>
        <v>0.4838709677419355</v>
      </c>
      <c r="AL45" s="112">
        <f t="shared" si="12"/>
        <v>9.820512820512821</v>
      </c>
      <c r="AM45" s="112">
        <f t="shared" si="13"/>
        <v>33</v>
      </c>
      <c r="AN45" s="112">
        <f t="shared" si="14"/>
        <v>28.816666666666666</v>
      </c>
      <c r="AO45" s="112">
        <f t="shared" si="15"/>
        <v>196.52173913043478</v>
      </c>
      <c r="AP45" s="112">
        <f t="shared" si="16"/>
        <v>43.5625</v>
      </c>
      <c r="AQ45" s="112">
        <f t="shared" si="17"/>
        <v>80.91428571428571</v>
      </c>
      <c r="AR45" s="103">
        <f t="shared" si="36"/>
        <v>0.5370317963702532</v>
      </c>
      <c r="AS45" s="112">
        <f t="shared" si="18"/>
        <v>4.838709677419355</v>
      </c>
      <c r="AT45" s="112"/>
      <c r="AU45" s="112">
        <f t="shared" si="20"/>
        <v>0.06349206349206349</v>
      </c>
      <c r="AV45" s="112">
        <f t="shared" si="21"/>
        <v>0.061538461538461535</v>
      </c>
      <c r="AW45" s="103">
        <f t="shared" si="24"/>
        <v>10</v>
      </c>
      <c r="AX45" s="103">
        <f t="shared" si="47"/>
        <v>5.642857142857143</v>
      </c>
      <c r="AY45" s="103"/>
      <c r="AZ45" s="103">
        <f t="shared" si="37"/>
        <v>4.357142857142857</v>
      </c>
      <c r="BA45" s="113"/>
      <c r="BB45" s="113"/>
      <c r="BC45" s="112">
        <f>AL45+AM45+AN45+AO45+AI45</f>
        <v>268.8732043319</v>
      </c>
      <c r="BD45" s="112">
        <f>AJ45+AP45+AQ45</f>
        <v>128.11964285714285</v>
      </c>
      <c r="BE45" s="96">
        <f>ABS(BC45-BD45)/(BC45+BD45)*100</f>
        <v>35.454936397816795</v>
      </c>
      <c r="BF45" s="114">
        <f>(('[1]setup'!$B$13*'[1]setup'!$B$14*'[1]setup'!$B$15)/10^(-R45))*10^6</f>
        <v>22.07973229883592</v>
      </c>
      <c r="BG45" s="115">
        <f t="shared" si="38"/>
        <v>4.70337579976956</v>
      </c>
      <c r="BH45" s="114">
        <f>(AM45+AN45+AO45+AL45+AI45)-(AP45+AQ45+AJ45)</f>
        <v>140.75356147475716</v>
      </c>
      <c r="BI45" s="114">
        <f>(AM45+AN45+AO45+AL45+AI45)+((10^-R45)*10^6)</f>
        <v>269.41023612827024</v>
      </c>
      <c r="BJ45" s="114">
        <f>(AP45+AQ45+AJ45+BG45+BF45)</f>
        <v>154.90275095574833</v>
      </c>
      <c r="BK45" s="18">
        <f>ABS(BI45-BJ45)/(BI45+BJ45)*100</f>
        <v>26.98656149071586</v>
      </c>
      <c r="BL45" s="96"/>
      <c r="BM45" s="112">
        <f>(3*('[1]setup'!$D$19*(10^-R45)^3)+2*('[1]setup'!$D$20*'[1]setup'!$D$19*((10^-R45)^2))+('[1]setup'!$D$21*'[1]setup'!$D$19*10^-R45)+('[1]setup'!$D$19*'[1]setup'!$D$22*(AP45/(10^6*2))*(10^-R45)^3))*10^6</f>
        <v>0.0007038987635524757</v>
      </c>
      <c r="BN45" s="103">
        <f>(AM45+AN45+AO45+AL45+AI45+(10^-R45)*10^6+BM45)-(AP45+AQ45+AJ45+BF45)</f>
        <v>119.21156487105503</v>
      </c>
      <c r="BO45" s="114">
        <f>(BN45/((('[1]setup'!$C$26)/10^-R45)+2*(('[1]setup'!$C$26*'[1]setup'!$C$27)/(10^-R45^2))+3*(('[1]setup'!$C$26*'[1]setup'!$C$27*'[1]setup'!$C$28)/(10^-R45^3))))/(10^-R45^3/(10^-R45^3+'[1]setup'!$C$26*10^-R45^2+'[1]setup'!$C$26*'[1]setup'!$C$27*10^-R45+'[1]setup'!$C$26*'[1]setup'!$C$27*'[1]setup'!$C$28))</f>
        <v>50.135764871455606</v>
      </c>
      <c r="BP45" s="113"/>
      <c r="BQ45" s="111">
        <f t="shared" si="0"/>
        <v>268.87320433189996</v>
      </c>
      <c r="BR45" s="111">
        <f t="shared" si="1"/>
        <v>128.11964285714285</v>
      </c>
      <c r="BS45" s="111">
        <f t="shared" si="2"/>
        <v>2.09861031716816</v>
      </c>
      <c r="BT45" s="111">
        <f t="shared" si="3"/>
        <v>140.03927576047144</v>
      </c>
      <c r="BU45" s="111">
        <f t="shared" si="4"/>
        <v>2.4287644313436503</v>
      </c>
    </row>
    <row r="46" spans="1:73" ht="12.75">
      <c r="A46" s="29">
        <v>39224</v>
      </c>
      <c r="B46" t="s">
        <v>37</v>
      </c>
      <c r="C46">
        <v>893482</v>
      </c>
      <c r="E46" s="61">
        <v>0.006</v>
      </c>
      <c r="F46" s="61">
        <v>0.002</v>
      </c>
      <c r="G46" s="61">
        <v>0.02</v>
      </c>
      <c r="H46" s="61">
        <v>5.486</v>
      </c>
      <c r="I46" s="61">
        <v>0.033</v>
      </c>
      <c r="J46" s="61">
        <v>0.04836</v>
      </c>
      <c r="K46" s="61">
        <v>0.005</v>
      </c>
      <c r="L46" s="61">
        <v>0.4005</v>
      </c>
      <c r="M46" s="61">
        <v>0.5861</v>
      </c>
      <c r="N46" s="61">
        <v>0.3462</v>
      </c>
      <c r="O46" s="61">
        <v>4.233</v>
      </c>
      <c r="P46" s="61">
        <v>0.6451</v>
      </c>
      <c r="Q46" s="61">
        <v>2.883</v>
      </c>
      <c r="R46" s="61">
        <v>6</v>
      </c>
      <c r="S46" s="61">
        <v>19.4</v>
      </c>
      <c r="T46" s="61">
        <v>22.561</v>
      </c>
      <c r="U46" s="61">
        <v>0.05</v>
      </c>
      <c r="V46" s="67"/>
      <c r="W46" s="61">
        <v>0.002</v>
      </c>
      <c r="X46" s="101">
        <v>0.002</v>
      </c>
      <c r="Y46" s="61">
        <v>0.8562</v>
      </c>
      <c r="Z46" s="61">
        <v>0.2125</v>
      </c>
      <c r="AA46" s="61">
        <v>0.13113999999999998</v>
      </c>
      <c r="AB46" s="61"/>
      <c r="AC46" s="61"/>
      <c r="AE46" s="116">
        <f t="shared" si="5"/>
        <v>0.2142857142857143</v>
      </c>
      <c r="AF46" s="116">
        <f t="shared" si="6"/>
        <v>0.07272727272727272</v>
      </c>
      <c r="AG46" s="116">
        <f t="shared" si="7"/>
        <v>2.2222222222222223</v>
      </c>
      <c r="AH46" s="116">
        <f t="shared" si="8"/>
        <v>783.7142857142857</v>
      </c>
      <c r="AI46" s="116">
        <f t="shared" si="9"/>
        <v>2.357142857142857</v>
      </c>
      <c r="AJ46" s="116">
        <f t="shared" si="10"/>
        <v>3.4542857142857146</v>
      </c>
      <c r="AK46" s="116">
        <f t="shared" si="11"/>
        <v>0.4838709677419355</v>
      </c>
      <c r="AL46" s="116">
        <f t="shared" si="12"/>
        <v>10.26923076923077</v>
      </c>
      <c r="AM46" s="116">
        <f t="shared" si="13"/>
        <v>29.304999999999996</v>
      </c>
      <c r="AN46" s="116">
        <f t="shared" si="14"/>
        <v>28.85</v>
      </c>
      <c r="AO46" s="116">
        <f t="shared" si="15"/>
        <v>184.04347826086956</v>
      </c>
      <c r="AP46" s="116">
        <f t="shared" si="16"/>
        <v>40.31875</v>
      </c>
      <c r="AQ46" s="116">
        <f t="shared" si="17"/>
        <v>82.37142857142857</v>
      </c>
      <c r="AR46" s="95">
        <f t="shared" si="36"/>
        <v>1</v>
      </c>
      <c r="AS46" s="116">
        <f t="shared" si="18"/>
        <v>4.838709677419355</v>
      </c>
      <c r="AT46" s="116"/>
      <c r="AU46" s="116">
        <f t="shared" si="20"/>
        <v>0.06349206349206349</v>
      </c>
      <c r="AV46" s="116">
        <f t="shared" si="21"/>
        <v>0.061538461538461535</v>
      </c>
      <c r="AW46" s="95">
        <f t="shared" si="24"/>
        <v>15.178571428571429</v>
      </c>
      <c r="AX46" s="95">
        <f t="shared" si="47"/>
        <v>9.367142857142857</v>
      </c>
      <c r="AY46" s="95"/>
      <c r="AZ46" s="95">
        <f t="shared" si="37"/>
        <v>5.811428571428571</v>
      </c>
      <c r="BA46" s="113"/>
      <c r="BB46" s="113"/>
      <c r="BC46" s="116">
        <f>AL46+AM46+AN46+AO46+AI46</f>
        <v>254.8248518872432</v>
      </c>
      <c r="BD46" s="116">
        <f>AJ46+AP46+AQ46</f>
        <v>126.14446428571429</v>
      </c>
      <c r="BE46" s="120">
        <f>ABS(BC46-BD46)/(BC46+BD46)*100</f>
        <v>33.777100185965864</v>
      </c>
      <c r="BF46" s="117">
        <f>(('[1]setup'!$B$13*'[1]setup'!$B$14*'[1]setup'!$B$15)/10^(-R46))*10^6</f>
        <v>11.857518299818139</v>
      </c>
      <c r="BG46" s="118">
        <f t="shared" si="38"/>
        <v>7.852416771682126</v>
      </c>
      <c r="BH46" s="117">
        <f>(AM46+AN46+AO46+AL46+AI46)-(AP46+AQ46+AJ46)</f>
        <v>128.68038760152893</v>
      </c>
      <c r="BI46" s="117">
        <f>(AM46+AN46+AO46+AL46+AI46)+((10^-R46)*10^6)</f>
        <v>255.8248518872432</v>
      </c>
      <c r="BJ46" s="117">
        <f>(AP46+AQ46+AJ46+BG46+BF46)</f>
        <v>145.85439935721453</v>
      </c>
      <c r="BK46" s="119">
        <f>ABS(BI46-BJ46)/(BI46+BJ46)*100</f>
        <v>27.377678132322004</v>
      </c>
      <c r="BL46" s="120"/>
      <c r="BM46" s="116">
        <f>(3*('[1]setup'!$D$19*(10^-R46)^3)+2*('[1]setup'!$D$20*'[1]setup'!$D$19*((10^-R46)^2))+('[1]setup'!$D$21*'[1]setup'!$D$19*10^-R46)+('[1]setup'!$D$19*'[1]setup'!$D$22*(AP46/(10^6*2))*(10^-R46)^3))*10^6</f>
        <v>0.001824038340153611</v>
      </c>
      <c r="BN46" s="95">
        <f>(AM46+AN46+AO46+AL46+AI46+(10^-R46)*10^6+BM46)-(AP46+AQ46+AJ46+BF46)</f>
        <v>117.82469334005094</v>
      </c>
      <c r="BO46" s="117">
        <f>(BN46/((('[1]setup'!$C$26)/10^-R46)+2*(('[1]setup'!$C$26*'[1]setup'!$C$27)/(10^-R46^2))+3*(('[1]setup'!$C$26*'[1]setup'!$C$27*'[1]setup'!$C$28)/(10^-R46^3))))/(10^-R46^3/(10^-R46^3+'[1]setup'!$C$26*10^-R46^2+'[1]setup'!$C$26*'[1]setup'!$C$27*10^-R46+'[1]setup'!$C$26*'[1]setup'!$C$27*'[1]setup'!$C$28))</f>
        <v>52.88594685182282</v>
      </c>
      <c r="BP46" s="113"/>
      <c r="BQ46" s="111">
        <f t="shared" si="0"/>
        <v>254.8248518872432</v>
      </c>
      <c r="BR46" s="111">
        <f t="shared" si="1"/>
        <v>126.14446428571429</v>
      </c>
      <c r="BS46" s="111">
        <f t="shared" si="2"/>
        <v>2.0201033262154953</v>
      </c>
      <c r="BT46" s="111">
        <f t="shared" si="3"/>
        <v>126.32324474438605</v>
      </c>
      <c r="BU46" s="111">
        <f t="shared" si="4"/>
        <v>2.2343120843324438</v>
      </c>
    </row>
    <row r="47" spans="1:73" ht="12.75">
      <c r="A47" s="29">
        <v>39252</v>
      </c>
      <c r="B47" t="s">
        <v>37</v>
      </c>
      <c r="C47">
        <v>896803</v>
      </c>
      <c r="E47" s="61">
        <v>0.006</v>
      </c>
      <c r="F47" s="61">
        <v>0.002</v>
      </c>
      <c r="G47" s="61">
        <v>0.02</v>
      </c>
      <c r="H47" s="61">
        <v>2.916</v>
      </c>
      <c r="I47" s="61">
        <v>0.064</v>
      </c>
      <c r="J47" s="61">
        <v>0.04081</v>
      </c>
      <c r="K47" s="61">
        <v>0.005</v>
      </c>
      <c r="L47" s="61">
        <v>0.2572</v>
      </c>
      <c r="M47" s="61">
        <v>0.5976</v>
      </c>
      <c r="N47" s="61">
        <v>0.3576</v>
      </c>
      <c r="O47" s="61">
        <v>2.947</v>
      </c>
      <c r="P47" s="61">
        <v>0.6799</v>
      </c>
      <c r="Q47" s="61">
        <v>2.753</v>
      </c>
      <c r="R47" s="61">
        <v>6.12</v>
      </c>
      <c r="S47" s="61">
        <v>19.4</v>
      </c>
      <c r="T47" s="61">
        <v>22.42</v>
      </c>
      <c r="U47" s="61">
        <v>0.05</v>
      </c>
      <c r="V47" s="67"/>
      <c r="W47" s="61">
        <v>0.002</v>
      </c>
      <c r="X47" s="101">
        <v>0.002</v>
      </c>
      <c r="Y47" s="61">
        <v>1.5765</v>
      </c>
      <c r="Z47" s="61">
        <v>0.101341133386915</v>
      </c>
      <c r="AA47" s="61">
        <v>-0.0034688666130850004</v>
      </c>
      <c r="AB47" s="61"/>
      <c r="AC47" s="61"/>
      <c r="AE47" s="116">
        <f t="shared" si="5"/>
        <v>0.2142857142857143</v>
      </c>
      <c r="AF47" s="116">
        <f t="shared" si="6"/>
        <v>0.07272727272727272</v>
      </c>
      <c r="AG47" s="116">
        <f t="shared" si="7"/>
        <v>2.2222222222222223</v>
      </c>
      <c r="AH47" s="116">
        <f t="shared" si="8"/>
        <v>416.57142857142856</v>
      </c>
      <c r="AI47" s="116">
        <f t="shared" si="9"/>
        <v>4.571428571428572</v>
      </c>
      <c r="AJ47" s="116">
        <f t="shared" si="10"/>
        <v>2.915</v>
      </c>
      <c r="AK47" s="116">
        <f t="shared" si="11"/>
        <v>0.4838709677419355</v>
      </c>
      <c r="AL47" s="116">
        <f t="shared" si="12"/>
        <v>6.5948717948717945</v>
      </c>
      <c r="AM47" s="116">
        <f t="shared" si="13"/>
        <v>29.88</v>
      </c>
      <c r="AN47" s="116">
        <f t="shared" si="14"/>
        <v>29.799999999999997</v>
      </c>
      <c r="AO47" s="116">
        <f t="shared" si="15"/>
        <v>128.1304347826087</v>
      </c>
      <c r="AP47" s="116">
        <f t="shared" si="16"/>
        <v>42.49375</v>
      </c>
      <c r="AQ47" s="116">
        <f t="shared" si="17"/>
        <v>78.65714285714286</v>
      </c>
      <c r="AR47" s="95">
        <f t="shared" si="36"/>
        <v>0.7585775750291835</v>
      </c>
      <c r="AS47" s="116">
        <f t="shared" si="18"/>
        <v>4.838709677419355</v>
      </c>
      <c r="AT47" s="112"/>
      <c r="AU47" s="116">
        <f t="shared" si="20"/>
        <v>0.06349206349206349</v>
      </c>
      <c r="AV47" s="116">
        <f t="shared" si="21"/>
        <v>0.061538461538461535</v>
      </c>
      <c r="AW47" s="95">
        <f t="shared" si="24"/>
        <v>7.238652384779643</v>
      </c>
      <c r="AX47" s="95">
        <f t="shared" si="47"/>
        <v>-0.2477761866489292</v>
      </c>
      <c r="AY47" s="95"/>
      <c r="AZ47" s="95">
        <f t="shared" si="37"/>
        <v>7.486428571428572</v>
      </c>
      <c r="BA47" s="113"/>
      <c r="BB47" s="113"/>
      <c r="BC47" s="116">
        <f aca="true" t="shared" si="48" ref="BC47:BC52">AL47+AM47+AN47+AO47+AI47</f>
        <v>198.97673514890906</v>
      </c>
      <c r="BD47" s="116">
        <f aca="true" t="shared" si="49" ref="BD47:BD52">AJ47+AP47+AQ47</f>
        <v>124.06589285714286</v>
      </c>
      <c r="BE47" s="120">
        <f aca="true" t="shared" si="50" ref="BE47:BE52">ABS(BC47-BD47)/(BC47+BD47)*100</f>
        <v>23.189150841839616</v>
      </c>
      <c r="BF47" s="117">
        <f>(('[1]setup'!$B$13*'[1]setup'!$B$14*'[1]setup'!$B$15)/10^(-R47))*10^6</f>
        <v>15.631253401291202</v>
      </c>
      <c r="BG47" s="118">
        <f t="shared" si="38"/>
        <v>14.635983446310405</v>
      </c>
      <c r="BH47" s="117">
        <f aca="true" t="shared" si="51" ref="BH47:BH52">(AM47+AN47+AO47+AL47+AI47)-(AP47+AQ47+AJ47)</f>
        <v>74.91084229176623</v>
      </c>
      <c r="BI47" s="117">
        <f aca="true" t="shared" si="52" ref="BI47:BI52">(AM47+AN47+AO47+AL47+AI47)+((10^-R47)*10^6)</f>
        <v>199.73531272393828</v>
      </c>
      <c r="BJ47" s="117">
        <f aca="true" t="shared" si="53" ref="BJ47:BJ52">(AP47+AQ47+AJ47+BG47+BF47)</f>
        <v>154.33312970474447</v>
      </c>
      <c r="BK47" s="119">
        <f aca="true" t="shared" si="54" ref="BK47:BK52">ABS(BI47-BJ47)/(BI47+BJ47)*100</f>
        <v>12.822996228572059</v>
      </c>
      <c r="BL47" s="120"/>
      <c r="BM47" s="116">
        <f>(3*('[1]setup'!$D$19*(10^-R47)^3)+2*('[1]setup'!$D$20*'[1]setup'!$D$19*((10^-R47)^2))+('[1]setup'!$D$21*'[1]setup'!$D$19*10^-R47)+('[1]setup'!$D$19*'[1]setup'!$D$22*(AP47/(10^6*2))*(10^-R47)^3))*10^6</f>
        <v>0.0011684042368023738</v>
      </c>
      <c r="BN47" s="95">
        <f aca="true" t="shared" si="55" ref="BN47:BN79">(AM47+AN47+AO47+AL47+AI47+(10^-R47)*10^6+BM47)-(AP47+AQ47+AJ47+BF47)</f>
        <v>60.039334869741026</v>
      </c>
      <c r="BO47" s="117">
        <f>(BN47/((('[1]setup'!$C$26)/10^-R47)+2*(('[1]setup'!$C$26*'[1]setup'!$C$27)/(10^-R47^2))+3*(('[1]setup'!$C$26*'[1]setup'!$C$27*'[1]setup'!$C$28)/(10^-R47^3))))/(10^-R47^3/(10^-R47^3+'[1]setup'!$C$26*10^-R47^2+'[1]setup'!$C$26*'[1]setup'!$C$27*10^-R47+'[1]setup'!$C$26*'[1]setup'!$C$27*'[1]setup'!$C$28))</f>
        <v>26.196276902834292</v>
      </c>
      <c r="BP47" s="113"/>
      <c r="BQ47" s="111">
        <f t="shared" si="0"/>
        <v>198.97673514890906</v>
      </c>
      <c r="BR47" s="111">
        <f t="shared" si="1"/>
        <v>124.06589285714286</v>
      </c>
      <c r="BS47" s="111">
        <f t="shared" si="2"/>
        <v>1.6037988408145596</v>
      </c>
      <c r="BT47" s="111">
        <f t="shared" si="3"/>
        <v>70.33941372033762</v>
      </c>
      <c r="BU47" s="111">
        <f t="shared" si="4"/>
        <v>1.6289739256779165</v>
      </c>
    </row>
    <row r="48" spans="1:73" ht="12.75">
      <c r="A48" s="29">
        <v>39293</v>
      </c>
      <c r="B48" t="s">
        <v>37</v>
      </c>
      <c r="C48">
        <v>901381</v>
      </c>
      <c r="E48" s="61">
        <v>0.006</v>
      </c>
      <c r="F48" s="61">
        <v>0.002</v>
      </c>
      <c r="G48" s="61">
        <v>0.02145</v>
      </c>
      <c r="H48" s="61">
        <v>3.018</v>
      </c>
      <c r="I48" s="61">
        <v>0.054</v>
      </c>
      <c r="J48" s="61">
        <v>0.03495</v>
      </c>
      <c r="K48" s="61">
        <v>0.006</v>
      </c>
      <c r="L48" s="61">
        <v>0.3142</v>
      </c>
      <c r="M48" s="61">
        <v>0.6646</v>
      </c>
      <c r="N48" s="61">
        <v>0.4074</v>
      </c>
      <c r="O48" s="61">
        <v>2.935</v>
      </c>
      <c r="P48" s="61">
        <v>0.6641</v>
      </c>
      <c r="Q48" s="61">
        <v>2.609</v>
      </c>
      <c r="R48" s="61">
        <v>6.11</v>
      </c>
      <c r="S48" s="61">
        <v>19.4</v>
      </c>
      <c r="T48" s="61">
        <v>21.726</v>
      </c>
      <c r="U48" s="61">
        <v>0.05</v>
      </c>
      <c r="V48" s="67"/>
      <c r="W48" s="61">
        <v>0.002</v>
      </c>
      <c r="X48" s="101">
        <v>0.003355</v>
      </c>
      <c r="Y48" s="61">
        <v>0.759</v>
      </c>
      <c r="Z48" s="61">
        <v>0.1449</v>
      </c>
      <c r="AA48" s="61">
        <v>0.05595</v>
      </c>
      <c r="AB48" s="61"/>
      <c r="AC48" s="61"/>
      <c r="AE48" s="116">
        <f t="shared" si="5"/>
        <v>0.2142857142857143</v>
      </c>
      <c r="AF48" s="116">
        <f t="shared" si="6"/>
        <v>0.07272727272727272</v>
      </c>
      <c r="AG48" s="116">
        <f t="shared" si="7"/>
        <v>2.3833333333333333</v>
      </c>
      <c r="AH48" s="116">
        <f t="shared" si="8"/>
        <v>431.1428571428571</v>
      </c>
      <c r="AI48" s="116">
        <f t="shared" si="9"/>
        <v>3.857142857142857</v>
      </c>
      <c r="AJ48" s="116">
        <f t="shared" si="10"/>
        <v>2.496428571428572</v>
      </c>
      <c r="AK48" s="116">
        <f t="shared" si="11"/>
        <v>0.5806451612903225</v>
      </c>
      <c r="AL48" s="116">
        <f t="shared" si="12"/>
        <v>8.056410256410256</v>
      </c>
      <c r="AM48" s="116">
        <f t="shared" si="13"/>
        <v>33.23</v>
      </c>
      <c r="AN48" s="116">
        <f t="shared" si="14"/>
        <v>33.95</v>
      </c>
      <c r="AO48" s="116">
        <f t="shared" si="15"/>
        <v>127.60869565217392</v>
      </c>
      <c r="AP48" s="116">
        <f t="shared" si="16"/>
        <v>41.50625</v>
      </c>
      <c r="AQ48" s="116">
        <f t="shared" si="17"/>
        <v>74.54285714285714</v>
      </c>
      <c r="AR48" s="95">
        <f t="shared" si="36"/>
        <v>0.7762471166286912</v>
      </c>
      <c r="AS48" s="116">
        <f t="shared" si="18"/>
        <v>4.838709677419355</v>
      </c>
      <c r="AT48" s="112"/>
      <c r="AU48" s="116">
        <f t="shared" si="20"/>
        <v>0.06349206349206349</v>
      </c>
      <c r="AV48" s="116">
        <f t="shared" si="21"/>
        <v>0.10323076923076922</v>
      </c>
      <c r="AW48" s="95">
        <f t="shared" si="24"/>
        <v>10.35</v>
      </c>
      <c r="AX48" s="95">
        <f t="shared" si="47"/>
        <v>3.99642857142857</v>
      </c>
      <c r="AY48" s="95"/>
      <c r="AZ48" s="95">
        <f t="shared" si="37"/>
        <v>6.3535714285714295</v>
      </c>
      <c r="BA48" s="113"/>
      <c r="BB48" s="113"/>
      <c r="BC48" s="116">
        <f t="shared" si="48"/>
        <v>206.70224876572703</v>
      </c>
      <c r="BD48" s="116">
        <f t="shared" si="49"/>
        <v>118.54553571428572</v>
      </c>
      <c r="BE48" s="120">
        <f t="shared" si="50"/>
        <v>27.104477649980353</v>
      </c>
      <c r="BF48" s="117">
        <f>(('[1]setup'!$B$13*'[1]setup'!$B$14*'[1]setup'!$B$15)/10^(-R48))*10^6</f>
        <v>15.275442633933878</v>
      </c>
      <c r="BG48" s="118">
        <f t="shared" si="38"/>
        <v>7.039696780919779</v>
      </c>
      <c r="BH48" s="117">
        <f t="shared" si="51"/>
        <v>88.15671305144136</v>
      </c>
      <c r="BI48" s="117">
        <f t="shared" si="52"/>
        <v>207.47849588235576</v>
      </c>
      <c r="BJ48" s="117">
        <f t="shared" si="53"/>
        <v>140.86067512913937</v>
      </c>
      <c r="BK48" s="119">
        <f t="shared" si="54"/>
        <v>19.124412726761072</v>
      </c>
      <c r="BL48" s="120"/>
      <c r="BM48" s="116">
        <f>(3*('[1]setup'!$D$19*(10^-R48)^3)+2*('[1]setup'!$D$20*'[1]setup'!$D$19*((10^-R48)^2))+('[1]setup'!$D$21*'[1]setup'!$D$19*10^-R48)+('[1]setup'!$D$19*'[1]setup'!$D$22*(AP48/(10^6*2))*(10^-R48)^3))*10^6</f>
        <v>0.0012108021875912377</v>
      </c>
      <c r="BN48" s="95">
        <f t="shared" si="55"/>
        <v>73.65872833632378</v>
      </c>
      <c r="BO48" s="117">
        <f>(BN48/((('[1]setup'!$C$26)/10^-R48)+2*(('[1]setup'!$C$26*'[1]setup'!$C$27)/(10^-R48^2))+3*(('[1]setup'!$C$26*'[1]setup'!$C$27*'[1]setup'!$C$28)/(10^-R48^3))))/(10^-R48^3/(10^-R48^3+'[1]setup'!$C$26*10^-R48^2+'[1]setup'!$C$26*'[1]setup'!$C$27*10^-R48+'[1]setup'!$C$26*'[1]setup'!$C$27*'[1]setup'!$C$28))</f>
        <v>32.21610904480684</v>
      </c>
      <c r="BP48" s="113"/>
      <c r="BQ48" s="111">
        <f t="shared" si="0"/>
        <v>206.70224876572703</v>
      </c>
      <c r="BR48" s="111">
        <f t="shared" si="1"/>
        <v>118.54553571428572</v>
      </c>
      <c r="BS48" s="111">
        <f t="shared" si="2"/>
        <v>1.743652745084501</v>
      </c>
      <c r="BT48" s="111">
        <f t="shared" si="3"/>
        <v>84.29957019429845</v>
      </c>
      <c r="BU48" s="111">
        <f t="shared" si="4"/>
        <v>1.711883613578416</v>
      </c>
    </row>
    <row r="49" spans="1:73" ht="12.75">
      <c r="A49" s="29">
        <v>39329</v>
      </c>
      <c r="B49" t="s">
        <v>37</v>
      </c>
      <c r="C49">
        <v>903866</v>
      </c>
      <c r="E49" s="61">
        <v>0.006</v>
      </c>
      <c r="F49" s="61">
        <v>0.002</v>
      </c>
      <c r="G49" s="61">
        <v>0.02</v>
      </c>
      <c r="H49" s="61">
        <v>3.071</v>
      </c>
      <c r="I49" s="61">
        <v>0.043</v>
      </c>
      <c r="J49" s="61">
        <v>0.08008</v>
      </c>
      <c r="K49" s="61">
        <v>0.005</v>
      </c>
      <c r="L49" s="61">
        <v>0.3551</v>
      </c>
      <c r="M49" s="61">
        <v>0.6062</v>
      </c>
      <c r="N49" s="61">
        <v>0.3616</v>
      </c>
      <c r="O49" s="61">
        <v>3.05</v>
      </c>
      <c r="P49" s="61">
        <v>0.7262</v>
      </c>
      <c r="Q49" s="61">
        <v>2.889</v>
      </c>
      <c r="R49" s="61">
        <v>6.07</v>
      </c>
      <c r="S49" s="61">
        <v>19.8</v>
      </c>
      <c r="T49" s="61">
        <v>23.312</v>
      </c>
      <c r="U49" s="61">
        <v>0.05</v>
      </c>
      <c r="V49" s="67"/>
      <c r="W49" s="61">
        <v>0.002</v>
      </c>
      <c r="X49" s="101">
        <v>0.008769</v>
      </c>
      <c r="Y49" s="61">
        <v>0.5672</v>
      </c>
      <c r="Z49" s="61">
        <v>0.3551</v>
      </c>
      <c r="AA49" s="61">
        <v>0.23202000000000003</v>
      </c>
      <c r="AB49" s="61"/>
      <c r="AC49" s="61"/>
      <c r="AE49" s="116">
        <f t="shared" si="5"/>
        <v>0.2142857142857143</v>
      </c>
      <c r="AF49" s="116">
        <f t="shared" si="6"/>
        <v>0.07272727272727272</v>
      </c>
      <c r="AG49" s="116">
        <f t="shared" si="7"/>
        <v>2.2222222222222223</v>
      </c>
      <c r="AH49" s="116">
        <f t="shared" si="8"/>
        <v>438.7142857142857</v>
      </c>
      <c r="AI49" s="116">
        <f t="shared" si="9"/>
        <v>3.071428571428571</v>
      </c>
      <c r="AJ49" s="116">
        <f t="shared" si="10"/>
        <v>5.720000000000001</v>
      </c>
      <c r="AK49" s="116">
        <f t="shared" si="11"/>
        <v>0.4838709677419355</v>
      </c>
      <c r="AL49" s="116">
        <f t="shared" si="12"/>
        <v>9.105128205128207</v>
      </c>
      <c r="AM49" s="116">
        <f t="shared" si="13"/>
        <v>30.309999999999995</v>
      </c>
      <c r="AN49" s="116">
        <f t="shared" si="14"/>
        <v>30.133333333333333</v>
      </c>
      <c r="AO49" s="116">
        <f t="shared" si="15"/>
        <v>132.6086956521739</v>
      </c>
      <c r="AP49" s="116">
        <f t="shared" si="16"/>
        <v>45.387499999999996</v>
      </c>
      <c r="AQ49" s="116">
        <f t="shared" si="17"/>
        <v>82.54285714285714</v>
      </c>
      <c r="AR49" s="95">
        <f t="shared" si="36"/>
        <v>0.8511380382023759</v>
      </c>
      <c r="AS49" s="116">
        <f t="shared" si="18"/>
        <v>4.838709677419355</v>
      </c>
      <c r="AT49" s="112"/>
      <c r="AU49" s="116">
        <f t="shared" si="20"/>
        <v>0.06349206349206349</v>
      </c>
      <c r="AV49" s="116">
        <f t="shared" si="21"/>
        <v>0.2698153846153846</v>
      </c>
      <c r="AW49" s="95">
        <f t="shared" si="24"/>
        <v>25.364285714285717</v>
      </c>
      <c r="AX49" s="95">
        <f t="shared" si="47"/>
        <v>16.572857142857146</v>
      </c>
      <c r="AY49" s="95"/>
      <c r="AZ49" s="95">
        <f t="shared" si="37"/>
        <v>8.791428571428572</v>
      </c>
      <c r="BA49" s="113"/>
      <c r="BB49" s="113"/>
      <c r="BC49" s="116">
        <f t="shared" si="48"/>
        <v>205.22858576206403</v>
      </c>
      <c r="BD49" s="116">
        <f t="shared" si="49"/>
        <v>133.65035714285713</v>
      </c>
      <c r="BE49" s="120">
        <f t="shared" si="50"/>
        <v>21.122064417938624</v>
      </c>
      <c r="BF49" s="117">
        <f>(('[1]setup'!$B$13*'[1]setup'!$B$14*'[1]setup'!$B$15)/10^(-R49))*10^6</f>
        <v>13.931369258107093</v>
      </c>
      <c r="BG49" s="118">
        <f t="shared" si="38"/>
        <v>5.240095157262978</v>
      </c>
      <c r="BH49" s="117">
        <f t="shared" si="51"/>
        <v>71.5782286192069</v>
      </c>
      <c r="BI49" s="117">
        <f t="shared" si="52"/>
        <v>206.0797238002664</v>
      </c>
      <c r="BJ49" s="117">
        <f t="shared" si="53"/>
        <v>152.82182155822719</v>
      </c>
      <c r="BK49" s="119">
        <f t="shared" si="54"/>
        <v>14.839139850691325</v>
      </c>
      <c r="BL49" s="120"/>
      <c r="BM49" s="116">
        <f>(3*('[1]setup'!$D$19*(10^-R49)^3)+2*('[1]setup'!$D$20*'[1]setup'!$D$19*((10^-R49)^2))+('[1]setup'!$D$21*'[1]setup'!$D$19*10^-R49)+('[1]setup'!$D$19*'[1]setup'!$D$22*(AP49/(10^6*2))*(10^-R49)^3))*10^6</f>
        <v>0.0014001402253386416</v>
      </c>
      <c r="BN49" s="95">
        <f t="shared" si="55"/>
        <v>58.499397539527536</v>
      </c>
      <c r="BO49" s="117">
        <f>(BN49/((('[1]setup'!$C$26)/10^-R49)+2*(('[1]setup'!$C$26*'[1]setup'!$C$27)/(10^-R49^2))+3*(('[1]setup'!$C$26*'[1]setup'!$C$27*'[1]setup'!$C$28)/(10^-R49^3))))/(10^-R49^3/(10^-R49^3+'[1]setup'!$C$26*10^-R49^2+'[1]setup'!$C$26*'[1]setup'!$C$27*10^-R49+'[1]setup'!$C$26*'[1]setup'!$C$27*'[1]setup'!$C$28))</f>
        <v>25.83132142847232</v>
      </c>
      <c r="BP49" s="113"/>
      <c r="BQ49" s="111">
        <f t="shared" si="0"/>
        <v>205.22858576206403</v>
      </c>
      <c r="BR49" s="111">
        <f t="shared" si="1"/>
        <v>133.65035714285713</v>
      </c>
      <c r="BS49" s="111">
        <f t="shared" si="2"/>
        <v>1.535563317221052</v>
      </c>
      <c r="BT49" s="111">
        <f t="shared" si="3"/>
        <v>68.50680004777831</v>
      </c>
      <c r="BU49" s="111">
        <f t="shared" si="4"/>
        <v>1.6065435610336056</v>
      </c>
    </row>
    <row r="50" spans="1:73" ht="12.75">
      <c r="A50" s="29">
        <v>39350</v>
      </c>
      <c r="B50" t="s">
        <v>37</v>
      </c>
      <c r="C50">
        <v>906155</v>
      </c>
      <c r="E50" s="61">
        <v>0.006</v>
      </c>
      <c r="F50" s="61">
        <v>0.002</v>
      </c>
      <c r="G50" s="61">
        <v>0.02</v>
      </c>
      <c r="H50" s="61">
        <v>3.135</v>
      </c>
      <c r="I50" s="61">
        <v>0.01</v>
      </c>
      <c r="J50" s="61">
        <v>0.048274</v>
      </c>
      <c r="K50" s="61">
        <v>0.005</v>
      </c>
      <c r="L50" s="61">
        <v>0.2606</v>
      </c>
      <c r="M50" s="61">
        <v>0.6516</v>
      </c>
      <c r="N50" s="61">
        <v>0.372</v>
      </c>
      <c r="O50" s="61">
        <v>2.77</v>
      </c>
      <c r="P50" s="61">
        <v>0.687701</v>
      </c>
      <c r="Q50" s="61">
        <v>2.89891</v>
      </c>
      <c r="R50" s="61">
        <v>6.11</v>
      </c>
      <c r="S50" s="61">
        <v>12</v>
      </c>
      <c r="T50" s="61">
        <v>21.941</v>
      </c>
      <c r="U50" s="61">
        <v>0.05</v>
      </c>
      <c r="V50" s="67"/>
      <c r="W50" s="61">
        <v>0.002</v>
      </c>
      <c r="X50" s="101">
        <v>0.00263</v>
      </c>
      <c r="Y50" s="61">
        <v>0.5</v>
      </c>
      <c r="Z50" s="61">
        <v>0.1761</v>
      </c>
      <c r="AA50" s="61">
        <v>0.11782600000000001</v>
      </c>
      <c r="AB50" s="61"/>
      <c r="AC50" s="61"/>
      <c r="AE50" s="116">
        <f t="shared" si="5"/>
        <v>0.2142857142857143</v>
      </c>
      <c r="AF50" s="116">
        <f t="shared" si="6"/>
        <v>0.07272727272727272</v>
      </c>
      <c r="AG50" s="116">
        <f t="shared" si="7"/>
        <v>2.2222222222222223</v>
      </c>
      <c r="AH50" s="116">
        <f t="shared" si="8"/>
        <v>447.85714285714283</v>
      </c>
      <c r="AI50" s="116">
        <f t="shared" si="9"/>
        <v>0.7142857142857143</v>
      </c>
      <c r="AJ50" s="116">
        <f t="shared" si="10"/>
        <v>3.448142857142857</v>
      </c>
      <c r="AK50" s="116">
        <f t="shared" si="11"/>
        <v>0.4838709677419355</v>
      </c>
      <c r="AL50" s="116">
        <f t="shared" si="12"/>
        <v>6.682051282051282</v>
      </c>
      <c r="AM50" s="116">
        <f t="shared" si="13"/>
        <v>32.58</v>
      </c>
      <c r="AN50" s="116">
        <f t="shared" si="14"/>
        <v>31</v>
      </c>
      <c r="AO50" s="116">
        <f t="shared" si="15"/>
        <v>120.43478260869566</v>
      </c>
      <c r="AP50" s="116">
        <f t="shared" si="16"/>
        <v>42.9813125</v>
      </c>
      <c r="AQ50" s="116">
        <f t="shared" si="17"/>
        <v>82.826</v>
      </c>
      <c r="AR50" s="95">
        <f t="shared" si="36"/>
        <v>0.7762471166286912</v>
      </c>
      <c r="AS50" s="116">
        <f t="shared" si="18"/>
        <v>4.838709677419355</v>
      </c>
      <c r="AT50" s="112"/>
      <c r="AU50" s="116">
        <f t="shared" si="20"/>
        <v>0.06349206349206349</v>
      </c>
      <c r="AV50" s="116">
        <f t="shared" si="21"/>
        <v>0.08092307692307693</v>
      </c>
      <c r="AW50" s="95">
        <f t="shared" si="24"/>
        <v>12.57857142857143</v>
      </c>
      <c r="AX50" s="95">
        <f t="shared" si="47"/>
        <v>8.416142857142859</v>
      </c>
      <c r="AY50" s="95"/>
      <c r="AZ50" s="95">
        <f t="shared" si="37"/>
        <v>4.162428571428571</v>
      </c>
      <c r="BA50" s="113"/>
      <c r="BB50" s="113"/>
      <c r="BC50" s="116">
        <f t="shared" si="48"/>
        <v>191.41111960503267</v>
      </c>
      <c r="BD50" s="116">
        <f t="shared" si="49"/>
        <v>129.25545535714286</v>
      </c>
      <c r="BE50" s="120">
        <f t="shared" si="50"/>
        <v>19.383268822209303</v>
      </c>
      <c r="BF50" s="117">
        <f>(('[1]setup'!$B$13*'[1]setup'!$B$14*'[1]setup'!$B$15)/10^(-R50))*10^6</f>
        <v>15.275442633933878</v>
      </c>
      <c r="BG50" s="118">
        <f t="shared" si="38"/>
        <v>4.637481410355585</v>
      </c>
      <c r="BH50" s="117">
        <f t="shared" si="51"/>
        <v>62.1556642478898</v>
      </c>
      <c r="BI50" s="117">
        <f t="shared" si="52"/>
        <v>192.18736672166136</v>
      </c>
      <c r="BJ50" s="117">
        <f t="shared" si="53"/>
        <v>149.16837940143233</v>
      </c>
      <c r="BK50" s="119">
        <f t="shared" si="54"/>
        <v>12.602391437323654</v>
      </c>
      <c r="BL50" s="120"/>
      <c r="BM50" s="116">
        <f>(3*('[1]setup'!$D$19*(10^-R50)^3)+2*('[1]setup'!$D$20*'[1]setup'!$D$19*((10^-R50)^2))+('[1]setup'!$D$21*'[1]setup'!$D$19*10^-R50)+('[1]setup'!$D$19*'[1]setup'!$D$22*(AP50/(10^6*2))*(10^-R50)^3))*10^6</f>
        <v>0.0012108308423901609</v>
      </c>
      <c r="BN50" s="95">
        <f t="shared" si="55"/>
        <v>47.65767956142699</v>
      </c>
      <c r="BO50" s="117">
        <f>(BN50/((('[1]setup'!$C$26)/10^-R50)+2*(('[1]setup'!$C$26*'[1]setup'!$C$27)/(10^-R50^2))+3*(('[1]setup'!$C$26*'[1]setup'!$C$27*'[1]setup'!$C$28)/(10^-R50^3))))/(10^-R50^3/(10^-R50^3+'[1]setup'!$C$26*10^-R50^2+'[1]setup'!$C$26*'[1]setup'!$C$27*10^-R50+'[1]setup'!$C$26*'[1]setup'!$C$27*'[1]setup'!$C$28))</f>
        <v>20.844033507652348</v>
      </c>
      <c r="BP50" s="113"/>
      <c r="BQ50" s="111">
        <f t="shared" si="0"/>
        <v>191.41111960503264</v>
      </c>
      <c r="BR50" s="111">
        <f t="shared" si="1"/>
        <v>129.25545535714286</v>
      </c>
      <c r="BS50" s="111">
        <f t="shared" si="2"/>
        <v>1.4808745911431656</v>
      </c>
      <c r="BT50" s="111">
        <f t="shared" si="3"/>
        <v>61.44137853360408</v>
      </c>
      <c r="BU50" s="111">
        <f t="shared" si="4"/>
        <v>1.45406976805225</v>
      </c>
    </row>
    <row r="51" spans="1:73" ht="12.75">
      <c r="A51" s="29">
        <v>39364</v>
      </c>
      <c r="B51" t="s">
        <v>37</v>
      </c>
      <c r="C51">
        <v>907147</v>
      </c>
      <c r="E51" s="61">
        <v>0.006</v>
      </c>
      <c r="F51" s="61">
        <v>0.002</v>
      </c>
      <c r="G51" s="61">
        <v>0.02</v>
      </c>
      <c r="H51" s="61">
        <v>3.381</v>
      </c>
      <c r="I51" s="61">
        <v>0.021</v>
      </c>
      <c r="J51" s="61">
        <v>0.0877742</v>
      </c>
      <c r="K51" s="61">
        <v>0.006</v>
      </c>
      <c r="L51" s="61">
        <v>0.3169</v>
      </c>
      <c r="M51" s="61">
        <v>0.7289</v>
      </c>
      <c r="N51" s="61">
        <v>0.5033</v>
      </c>
      <c r="O51" s="61">
        <v>3.08</v>
      </c>
      <c r="P51" s="61">
        <v>0.692983</v>
      </c>
      <c r="Q51" s="61">
        <v>2.9978</v>
      </c>
      <c r="R51" s="61">
        <v>6.14</v>
      </c>
      <c r="S51" s="61">
        <v>12.9</v>
      </c>
      <c r="T51" s="61">
        <v>22.152</v>
      </c>
      <c r="U51" s="61">
        <v>0.05</v>
      </c>
      <c r="V51" s="67"/>
      <c r="W51" s="61">
        <v>0.002</v>
      </c>
      <c r="X51" s="101">
        <v>0.003181</v>
      </c>
      <c r="Y51" s="61">
        <v>0.5</v>
      </c>
      <c r="Z51" s="61">
        <v>0.1639</v>
      </c>
      <c r="AA51" s="61">
        <v>0.05512579999999999</v>
      </c>
      <c r="AB51" s="61"/>
      <c r="AC51" s="61"/>
      <c r="AE51" s="116">
        <f t="shared" si="5"/>
        <v>0.2142857142857143</v>
      </c>
      <c r="AF51" s="116">
        <f t="shared" si="6"/>
        <v>0.07272727272727272</v>
      </c>
      <c r="AG51" s="116">
        <f t="shared" si="7"/>
        <v>2.2222222222222223</v>
      </c>
      <c r="AH51" s="116">
        <f t="shared" si="8"/>
        <v>483</v>
      </c>
      <c r="AI51" s="116">
        <f t="shared" si="9"/>
        <v>1.5</v>
      </c>
      <c r="AJ51" s="116">
        <f t="shared" si="10"/>
        <v>6.269585714285714</v>
      </c>
      <c r="AK51" s="116">
        <f t="shared" si="11"/>
        <v>0.5806451612903225</v>
      </c>
      <c r="AL51" s="116">
        <f t="shared" si="12"/>
        <v>8.125641025641025</v>
      </c>
      <c r="AM51" s="116">
        <f t="shared" si="13"/>
        <v>36.445</v>
      </c>
      <c r="AN51" s="116">
        <f t="shared" si="14"/>
        <v>41.94166666666666</v>
      </c>
      <c r="AO51" s="116">
        <f t="shared" si="15"/>
        <v>133.91304347826087</v>
      </c>
      <c r="AP51" s="116">
        <f t="shared" si="16"/>
        <v>43.311437500000004</v>
      </c>
      <c r="AQ51" s="116">
        <f t="shared" si="17"/>
        <v>85.65142857142855</v>
      </c>
      <c r="AR51" s="95">
        <f t="shared" si="36"/>
        <v>0.7244359600749906</v>
      </c>
      <c r="AS51" s="116">
        <f t="shared" si="18"/>
        <v>4.838709677419355</v>
      </c>
      <c r="AT51" s="112"/>
      <c r="AU51" s="116">
        <f t="shared" si="20"/>
        <v>0.06349206349206349</v>
      </c>
      <c r="AV51" s="116">
        <f t="shared" si="21"/>
        <v>0.09787692307692307</v>
      </c>
      <c r="AW51" s="95">
        <f t="shared" si="24"/>
        <v>11.707142857142857</v>
      </c>
      <c r="AX51" s="95">
        <f t="shared" si="47"/>
        <v>3.937557142857143</v>
      </c>
      <c r="AY51" s="95"/>
      <c r="AZ51" s="95">
        <f t="shared" si="37"/>
        <v>7.769585714285714</v>
      </c>
      <c r="BA51" s="113"/>
      <c r="BB51" s="113"/>
      <c r="BC51" s="116">
        <f t="shared" si="48"/>
        <v>221.92535117056855</v>
      </c>
      <c r="BD51" s="116">
        <f t="shared" si="49"/>
        <v>135.23245178571426</v>
      </c>
      <c r="BE51" s="120">
        <f t="shared" si="50"/>
        <v>24.272996044682735</v>
      </c>
      <c r="BF51" s="117">
        <f>(('[1]setup'!$B$13*'[1]setup'!$B$14*'[1]setup'!$B$15)/10^(-R51))*10^6</f>
        <v>16.367931678309713</v>
      </c>
      <c r="BG51" s="118">
        <f t="shared" si="38"/>
        <v>4.65067356104468</v>
      </c>
      <c r="BH51" s="117">
        <f t="shared" si="51"/>
        <v>86.69289938485429</v>
      </c>
      <c r="BI51" s="117">
        <f t="shared" si="52"/>
        <v>222.64978713064355</v>
      </c>
      <c r="BJ51" s="117">
        <f t="shared" si="53"/>
        <v>156.25105702506863</v>
      </c>
      <c r="BK51" s="119">
        <f t="shared" si="54"/>
        <v>17.52403857888684</v>
      </c>
      <c r="BL51" s="120"/>
      <c r="BM51" s="116">
        <f>(3*('[1]setup'!$D$19*(10^-R51)^3)+2*('[1]setup'!$D$20*'[1]setup'!$D$19*((10^-R51)^2))+('[1]setup'!$D$21*'[1]setup'!$D$19*10^-R51)+('[1]setup'!$D$19*'[1]setup'!$D$22*(AP51/(10^6*2))*(10^-R51)^3))*10^6</f>
        <v>0.0010888047069234205</v>
      </c>
      <c r="BN51" s="95">
        <f t="shared" si="55"/>
        <v>71.05049247132649</v>
      </c>
      <c r="BO51" s="117">
        <f>(BN51/((('[1]setup'!$C$26)/10^-R51)+2*(('[1]setup'!$C$26*'[1]setup'!$C$27)/(10^-R51^2))+3*(('[1]setup'!$C$26*'[1]setup'!$C$27*'[1]setup'!$C$28)/(10^-R51^3))))/(10^-R51^3/(10^-R51^3+'[1]setup'!$C$26*10^-R51^2+'[1]setup'!$C$26*'[1]setup'!$C$27*10^-R51+'[1]setup'!$C$26*'[1]setup'!$C$27*'[1]setup'!$C$28))</f>
        <v>30.851126156102975</v>
      </c>
      <c r="BP51" s="113"/>
      <c r="BQ51" s="111">
        <f t="shared" si="0"/>
        <v>221.92535117056855</v>
      </c>
      <c r="BR51" s="111">
        <f t="shared" si="1"/>
        <v>135.23245178571426</v>
      </c>
      <c r="BS51" s="111">
        <f t="shared" si="2"/>
        <v>1.641065796264831</v>
      </c>
      <c r="BT51" s="111">
        <f t="shared" si="3"/>
        <v>85.19289938485429</v>
      </c>
      <c r="BU51" s="111">
        <f t="shared" si="4"/>
        <v>1.563465381859741</v>
      </c>
    </row>
    <row r="52" spans="1:73" ht="12.75">
      <c r="A52" s="29">
        <v>39428</v>
      </c>
      <c r="B52" t="s">
        <v>37</v>
      </c>
      <c r="C52">
        <v>913916</v>
      </c>
      <c r="E52" s="61">
        <v>0.01695</v>
      </c>
      <c r="F52" s="61">
        <v>0.002</v>
      </c>
      <c r="G52" s="61">
        <v>0.1261</v>
      </c>
      <c r="H52" s="61">
        <v>2.003</v>
      </c>
      <c r="I52" s="61">
        <v>0.017</v>
      </c>
      <c r="J52" s="61">
        <v>0.03546</v>
      </c>
      <c r="K52" s="61">
        <v>0.007</v>
      </c>
      <c r="L52" s="61">
        <v>0.3102</v>
      </c>
      <c r="M52" s="61">
        <v>0.7041</v>
      </c>
      <c r="N52" s="61">
        <v>0.4664</v>
      </c>
      <c r="O52" s="61">
        <v>2.749</v>
      </c>
      <c r="P52" s="61">
        <v>0.5506</v>
      </c>
      <c r="Q52" s="61">
        <v>4.064</v>
      </c>
      <c r="R52" s="61">
        <v>5.94</v>
      </c>
      <c r="S52" s="61">
        <v>14.1</v>
      </c>
      <c r="T52" s="61">
        <v>20.807</v>
      </c>
      <c r="U52" s="61">
        <v>0.05</v>
      </c>
      <c r="V52" s="67"/>
      <c r="W52" s="61">
        <v>0.002</v>
      </c>
      <c r="X52" s="101">
        <v>0.002</v>
      </c>
      <c r="Y52" s="61">
        <v>3.883</v>
      </c>
      <c r="Z52" s="61">
        <v>0.1454</v>
      </c>
      <c r="AA52" s="61">
        <v>0.09294</v>
      </c>
      <c r="AB52" s="61"/>
      <c r="AC52" s="61"/>
      <c r="AE52" s="116">
        <f t="shared" si="5"/>
        <v>0.6053571428571428</v>
      </c>
      <c r="AF52" s="116">
        <f t="shared" si="6"/>
        <v>0.07272727272727272</v>
      </c>
      <c r="AG52" s="116">
        <f t="shared" si="7"/>
        <v>14.01111111111111</v>
      </c>
      <c r="AH52" s="116">
        <f t="shared" si="8"/>
        <v>286.14285714285717</v>
      </c>
      <c r="AI52" s="116">
        <f t="shared" si="9"/>
        <v>1.2142857142857144</v>
      </c>
      <c r="AJ52" s="116">
        <f t="shared" si="10"/>
        <v>2.5328571428571425</v>
      </c>
      <c r="AK52" s="116">
        <f t="shared" si="11"/>
        <v>0.6774193548387097</v>
      </c>
      <c r="AL52" s="116">
        <f t="shared" si="12"/>
        <v>7.953846153846153</v>
      </c>
      <c r="AM52" s="116">
        <f t="shared" si="13"/>
        <v>35.205</v>
      </c>
      <c r="AN52" s="116">
        <f t="shared" si="14"/>
        <v>38.86666666666667</v>
      </c>
      <c r="AO52" s="116">
        <f t="shared" si="15"/>
        <v>119.5217391304348</v>
      </c>
      <c r="AP52" s="116">
        <f t="shared" si="16"/>
        <v>34.4125</v>
      </c>
      <c r="AQ52" s="116">
        <f t="shared" si="17"/>
        <v>116.11428571428571</v>
      </c>
      <c r="AR52" s="95">
        <f t="shared" si="36"/>
        <v>1.1481536214968817</v>
      </c>
      <c r="AS52" s="116">
        <f t="shared" si="18"/>
        <v>4.838709677419355</v>
      </c>
      <c r="AT52" s="116"/>
      <c r="AU52" s="116">
        <f t="shared" si="20"/>
        <v>0.06349206349206349</v>
      </c>
      <c r="AV52" s="116">
        <f t="shared" si="21"/>
        <v>0.061538461538461535</v>
      </c>
      <c r="AW52" s="95">
        <f t="shared" si="24"/>
        <v>10.385714285714286</v>
      </c>
      <c r="AX52" s="95">
        <f t="shared" si="47"/>
        <v>6.63857142857143</v>
      </c>
      <c r="AY52" s="95"/>
      <c r="AZ52" s="95">
        <f t="shared" si="37"/>
        <v>3.747142857142857</v>
      </c>
      <c r="BA52" s="113"/>
      <c r="BB52" s="113"/>
      <c r="BC52" s="116">
        <f t="shared" si="48"/>
        <v>202.76153766523333</v>
      </c>
      <c r="BD52" s="116">
        <f t="shared" si="49"/>
        <v>153.05964285714285</v>
      </c>
      <c r="BE52" s="120">
        <f t="shared" si="50"/>
        <v>13.968222671602579</v>
      </c>
      <c r="BF52" s="117">
        <f>(('[1]setup'!$B$13*'[1]setup'!$B$14*'[1]setup'!$B$15)/10^(-R52))*10^6</f>
        <v>10.327466706379546</v>
      </c>
      <c r="BG52" s="118">
        <f t="shared" si="38"/>
        <v>35.37363723623492</v>
      </c>
      <c r="BH52" s="117">
        <f t="shared" si="51"/>
        <v>49.70189480809046</v>
      </c>
      <c r="BI52" s="117">
        <f t="shared" si="52"/>
        <v>203.9096912867302</v>
      </c>
      <c r="BJ52" s="117">
        <f t="shared" si="53"/>
        <v>198.76074679975733</v>
      </c>
      <c r="BK52" s="119">
        <f t="shared" si="54"/>
        <v>1.2786994027773562</v>
      </c>
      <c r="BL52" s="120"/>
      <c r="BM52" s="116">
        <f>(3*('[1]setup'!$D$19*(10^-R52)^3)+2*('[1]setup'!$D$20*'[1]setup'!$D$19*((10^-R52)^2))+('[1]setup'!$D$21*'[1]setup'!$D$19*10^-R52)+('[1]setup'!$D$19*'[1]setup'!$D$22*(AP52/(10^6*2))*(10^-R52)^3))*10^6</f>
        <v>0.0023138818025873423</v>
      </c>
      <c r="BN52" s="95">
        <f t="shared" si="55"/>
        <v>40.524895605010386</v>
      </c>
      <c r="BO52" s="117">
        <f>(BN52/((('[1]setup'!$C$26)/10^-R52)+2*(('[1]setup'!$C$26*'[1]setup'!$C$27)/(10^-R52^2))+3*(('[1]setup'!$C$26*'[1]setup'!$C$27*'[1]setup'!$C$28)/(10^-R52^3))))/(10^-R52^3/(10^-R52^3+'[1]setup'!$C$26*10^-R52^2+'[1]setup'!$C$26*'[1]setup'!$C$27*10^-R52+'[1]setup'!$C$26*'[1]setup'!$C$27*'[1]setup'!$C$28))</f>
        <v>18.439752874226812</v>
      </c>
      <c r="BP52" s="113"/>
      <c r="BQ52" s="111">
        <f t="shared" si="0"/>
        <v>202.76153766523333</v>
      </c>
      <c r="BR52" s="111">
        <f t="shared" si="1"/>
        <v>153.05964285714285</v>
      </c>
      <c r="BS52" s="111">
        <f t="shared" si="2"/>
        <v>1.3247224015443404</v>
      </c>
      <c r="BT52" s="111">
        <f t="shared" si="3"/>
        <v>48.487609093804764</v>
      </c>
      <c r="BU52" s="111">
        <f t="shared" si="4"/>
        <v>1.0293456864087642</v>
      </c>
    </row>
    <row r="53" spans="1:73" ht="12.75">
      <c r="A53" s="58">
        <v>39497</v>
      </c>
      <c r="B53" s="2" t="s">
        <v>37</v>
      </c>
      <c r="C53" s="59"/>
      <c r="D53" s="59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101"/>
      <c r="Y53" s="61"/>
      <c r="Z53" s="62"/>
      <c r="AA53" s="61"/>
      <c r="AB53" s="61"/>
      <c r="AC53" s="61"/>
      <c r="AD53" s="35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95"/>
      <c r="AS53" s="116"/>
      <c r="AT53" s="116"/>
      <c r="AU53" s="116"/>
      <c r="AV53" s="116"/>
      <c r="AW53" s="95"/>
      <c r="AX53" s="95"/>
      <c r="AY53" s="95"/>
      <c r="AZ53" s="95"/>
      <c r="BA53" s="113"/>
      <c r="BB53" s="113"/>
      <c r="BC53" s="116"/>
      <c r="BD53" s="116"/>
      <c r="BE53" s="120"/>
      <c r="BF53" s="117"/>
      <c r="BG53" s="118"/>
      <c r="BH53" s="117"/>
      <c r="BI53" s="117"/>
      <c r="BJ53" s="117"/>
      <c r="BK53" s="119"/>
      <c r="BL53" s="113"/>
      <c r="BM53" s="116"/>
      <c r="BN53" s="95"/>
      <c r="BO53" s="117"/>
      <c r="BP53" s="113"/>
      <c r="BQ53" s="111"/>
      <c r="BR53" s="111"/>
      <c r="BS53" s="111"/>
      <c r="BT53" s="111"/>
      <c r="BU53" s="111"/>
    </row>
    <row r="54" spans="1:73" ht="12.75">
      <c r="A54" s="58">
        <v>39511</v>
      </c>
      <c r="B54" s="2" t="s">
        <v>37</v>
      </c>
      <c r="C54" s="60">
        <v>925472</v>
      </c>
      <c r="D54" s="60"/>
      <c r="E54" s="67">
        <v>0.006</v>
      </c>
      <c r="F54" s="67">
        <v>0.002</v>
      </c>
      <c r="G54" s="67">
        <v>0.02</v>
      </c>
      <c r="H54" s="67">
        <v>2.996</v>
      </c>
      <c r="I54" s="61">
        <v>0.012</v>
      </c>
      <c r="J54" s="62">
        <v>0.0685</v>
      </c>
      <c r="K54" s="61">
        <v>0.005</v>
      </c>
      <c r="L54" s="67">
        <v>0.2962</v>
      </c>
      <c r="M54" s="67">
        <v>0.4346</v>
      </c>
      <c r="N54" s="67">
        <v>0.2887</v>
      </c>
      <c r="O54" s="67">
        <v>2.55</v>
      </c>
      <c r="P54" s="61">
        <v>0.8064</v>
      </c>
      <c r="Q54" s="62">
        <v>4.782</v>
      </c>
      <c r="R54" s="61">
        <v>6.19</v>
      </c>
      <c r="S54" s="61">
        <v>17.3</v>
      </c>
      <c r="T54" s="61">
        <v>21.924</v>
      </c>
      <c r="U54" s="67">
        <v>0.05</v>
      </c>
      <c r="V54" s="67"/>
      <c r="W54" s="67">
        <v>0.002</v>
      </c>
      <c r="X54" s="105">
        <v>0.002</v>
      </c>
      <c r="Y54" s="61">
        <v>0.7817</v>
      </c>
      <c r="Z54" s="61">
        <v>0.1654</v>
      </c>
      <c r="AA54" s="62">
        <v>0.08489999999999999</v>
      </c>
      <c r="AB54" s="61"/>
      <c r="AC54" s="61"/>
      <c r="AD54" s="35"/>
      <c r="AE54" s="116">
        <f t="shared" si="5"/>
        <v>0.2142857142857143</v>
      </c>
      <c r="AF54" s="116">
        <f t="shared" si="6"/>
        <v>0.07272727272727272</v>
      </c>
      <c r="AG54" s="116">
        <f t="shared" si="7"/>
        <v>2.2222222222222223</v>
      </c>
      <c r="AH54" s="116">
        <f t="shared" si="8"/>
        <v>428</v>
      </c>
      <c r="AI54" s="116">
        <f t="shared" si="9"/>
        <v>0.8571428571428572</v>
      </c>
      <c r="AJ54" s="116">
        <f t="shared" si="10"/>
        <v>4.892857142857143</v>
      </c>
      <c r="AK54" s="116">
        <f t="shared" si="11"/>
        <v>0.4838709677419355</v>
      </c>
      <c r="AL54" s="116">
        <f t="shared" si="12"/>
        <v>7.594871794871795</v>
      </c>
      <c r="AM54" s="116">
        <f t="shared" si="13"/>
        <v>21.73</v>
      </c>
      <c r="AN54" s="116">
        <f t="shared" si="14"/>
        <v>24.058333333333334</v>
      </c>
      <c r="AO54" s="116">
        <f t="shared" si="15"/>
        <v>110.8695652173913</v>
      </c>
      <c r="AP54" s="116">
        <f t="shared" si="16"/>
        <v>50.4</v>
      </c>
      <c r="AQ54" s="116">
        <f t="shared" si="17"/>
        <v>136.62857142857143</v>
      </c>
      <c r="AR54" s="95">
        <f aca="true" t="shared" si="56" ref="AR54:AR79">SUM(10^(6-R54))</f>
        <v>0.6456542290346549</v>
      </c>
      <c r="AS54" s="116">
        <f t="shared" si="18"/>
        <v>4.838709677419355</v>
      </c>
      <c r="AT54" s="116"/>
      <c r="AU54" s="116">
        <f t="shared" si="20"/>
        <v>0.06349206349206349</v>
      </c>
      <c r="AV54" s="116">
        <f t="shared" si="21"/>
        <v>0.061538461538461535</v>
      </c>
      <c r="AW54" s="95">
        <f t="shared" si="24"/>
        <v>11.814285714285713</v>
      </c>
      <c r="AX54" s="95">
        <f aca="true" t="shared" si="57" ref="AX54:AX79">AW54-(AI54+AJ54)</f>
        <v>6.064285714285713</v>
      </c>
      <c r="AY54" s="95"/>
      <c r="AZ54" s="95">
        <f aca="true" t="shared" si="58" ref="AZ54:AZ79">AI54+AJ54</f>
        <v>5.75</v>
      </c>
      <c r="BA54" s="113"/>
      <c r="BB54" s="113"/>
      <c r="BC54" s="116">
        <f aca="true" t="shared" si="59" ref="BC54:BC79">AL54+AM54+AN54+AO54+AI54</f>
        <v>165.1099132027393</v>
      </c>
      <c r="BD54" s="116">
        <f aca="true" t="shared" si="60" ref="BD54:BD79">AJ54+AP54+AQ54</f>
        <v>191.92142857142858</v>
      </c>
      <c r="BE54" s="120">
        <f aca="true" t="shared" si="61" ref="BE54:BE79">ABS(BC54-BD54)/(BC54+BD54)*100</f>
        <v>7.509569113864599</v>
      </c>
      <c r="BF54" s="117">
        <f>(('[1]setup'!$B$13*'[1]setup'!$B$14*'[1]setup'!$B$15)/10^(-R54))*10^6</f>
        <v>18.36512140181726</v>
      </c>
      <c r="BG54" s="118">
        <f aca="true" t="shared" si="62" ref="BG54:BG79">((10^-(0.96+0.9*R54-0.039*R54^2))*Y54*10)/((10^-(0.96+0.9*R54-0.039*R54^2))+10^(-R54))</f>
        <v>7.303872507787179</v>
      </c>
      <c r="BH54" s="117">
        <f aca="true" t="shared" si="63" ref="BH54:BH79">(AM54+AN54+AO54+AL54+AI54)-(AP54+AQ54+AJ54)</f>
        <v>-26.81151536868927</v>
      </c>
      <c r="BI54" s="117">
        <f aca="true" t="shared" si="64" ref="BI54:BI79">(AM54+AN54+AO54+AL54+AI54)+((10^-R54)*10^6)</f>
        <v>165.75556743177395</v>
      </c>
      <c r="BJ54" s="117">
        <f aca="true" t="shared" si="65" ref="BJ54:BJ79">(AP54+AQ54+AJ54+BG54+BF54)</f>
        <v>217.59042248103302</v>
      </c>
      <c r="BK54" s="119">
        <f aca="true" t="shared" si="66" ref="BK54:BK79">ABS(BI54-BJ54)/(BI54+BJ54)*100</f>
        <v>13.521689651964019</v>
      </c>
      <c r="BL54" s="113"/>
      <c r="BM54" s="116">
        <f>(3*('[1]setup'!$D$19*(10^-R54)^3)+2*('[1]setup'!$D$20*'[1]setup'!$D$19*((10^-R54)^2))+('[1]setup'!$D$21*'[1]setup'!$D$19*10^-R54)+('[1]setup'!$D$19*'[1]setup'!$D$22*(AP54/(10^6*2))*(10^-R54)^3))*10^6</f>
        <v>0.0009166286535674054</v>
      </c>
      <c r="BN54" s="95">
        <f t="shared" si="55"/>
        <v>-44.530065912818316</v>
      </c>
      <c r="BO54" s="117">
        <f>(BN54/((('[1]setup'!$C$26)/10^-R54)+2*(('[1]setup'!$C$26*'[1]setup'!$C$27)/(10^-R54^2))+3*(('[1]setup'!$C$26*'[1]setup'!$C$27*'[1]setup'!$C$28)/(10^-R54^3))))/(10^-R54^3/(10^-R54^3+'[1]setup'!$C$26*10^-R54^2+'[1]setup'!$C$26*'[1]setup'!$C$27*10^-R54+'[1]setup'!$C$26*'[1]setup'!$C$27*'[1]setup'!$C$28))</f>
        <v>-19.101149040464083</v>
      </c>
      <c r="BP54" s="113"/>
      <c r="BQ54" s="111">
        <f t="shared" si="0"/>
        <v>165.10991320273928</v>
      </c>
      <c r="BR54" s="111">
        <f t="shared" si="1"/>
        <v>191.92142857142858</v>
      </c>
      <c r="BS54" s="111">
        <f t="shared" si="2"/>
        <v>0.8602995216935315</v>
      </c>
      <c r="BT54" s="111">
        <f t="shared" si="3"/>
        <v>-27.668658225832132</v>
      </c>
      <c r="BU54" s="111">
        <f t="shared" si="4"/>
        <v>0.8114669139708689</v>
      </c>
    </row>
    <row r="55" spans="1:73" ht="12.75">
      <c r="A55" s="58">
        <v>39525</v>
      </c>
      <c r="B55" s="2" t="s">
        <v>37</v>
      </c>
      <c r="C55" s="60">
        <v>928082</v>
      </c>
      <c r="D55" s="60"/>
      <c r="E55" s="67">
        <v>0.006</v>
      </c>
      <c r="F55" s="67">
        <v>0.002</v>
      </c>
      <c r="G55" s="67">
        <v>0.02</v>
      </c>
      <c r="H55" s="67">
        <v>3.124</v>
      </c>
      <c r="I55" s="61">
        <v>0.014</v>
      </c>
      <c r="J55" s="62">
        <v>0.0553</v>
      </c>
      <c r="K55" s="61">
        <v>0.005</v>
      </c>
      <c r="L55" s="67">
        <v>0.281</v>
      </c>
      <c r="M55" s="67">
        <v>0.4513</v>
      </c>
      <c r="N55" s="67">
        <v>0.3128</v>
      </c>
      <c r="O55" s="67">
        <v>2.799</v>
      </c>
      <c r="P55" s="61">
        <v>0.6446</v>
      </c>
      <c r="Q55" s="62">
        <v>2.668</v>
      </c>
      <c r="R55" s="62">
        <v>6.35</v>
      </c>
      <c r="S55" s="62">
        <v>18.8</v>
      </c>
      <c r="T55" s="62">
        <v>21.948</v>
      </c>
      <c r="U55" s="67">
        <v>0.05</v>
      </c>
      <c r="V55" s="67"/>
      <c r="W55" s="67">
        <v>0.002</v>
      </c>
      <c r="X55" s="105">
        <v>0.002</v>
      </c>
      <c r="Y55" s="61">
        <v>0.546</v>
      </c>
      <c r="Z55" s="61">
        <v>0.1504</v>
      </c>
      <c r="AA55" s="62">
        <v>0.0811</v>
      </c>
      <c r="AB55" s="61"/>
      <c r="AC55" s="61"/>
      <c r="AD55" s="35"/>
      <c r="AE55" s="116">
        <f t="shared" si="5"/>
        <v>0.2142857142857143</v>
      </c>
      <c r="AF55" s="116">
        <f t="shared" si="6"/>
        <v>0.07272727272727272</v>
      </c>
      <c r="AG55" s="116">
        <f t="shared" si="7"/>
        <v>2.2222222222222223</v>
      </c>
      <c r="AH55" s="116">
        <f t="shared" si="8"/>
        <v>446.2857142857143</v>
      </c>
      <c r="AI55" s="116">
        <f t="shared" si="9"/>
        <v>1</v>
      </c>
      <c r="AJ55" s="116">
        <f t="shared" si="10"/>
        <v>3.95</v>
      </c>
      <c r="AK55" s="116">
        <f t="shared" si="11"/>
        <v>0.4838709677419355</v>
      </c>
      <c r="AL55" s="116">
        <f t="shared" si="12"/>
        <v>7.205128205128206</v>
      </c>
      <c r="AM55" s="116">
        <f t="shared" si="13"/>
        <v>22.564999999999998</v>
      </c>
      <c r="AN55" s="116">
        <f t="shared" si="14"/>
        <v>26.06666666666667</v>
      </c>
      <c r="AO55" s="116">
        <f t="shared" si="15"/>
        <v>121.69565217391303</v>
      </c>
      <c r="AP55" s="116">
        <f t="shared" si="16"/>
        <v>40.287499999999994</v>
      </c>
      <c r="AQ55" s="116">
        <f t="shared" si="17"/>
        <v>76.22857142857144</v>
      </c>
      <c r="AR55" s="95">
        <f t="shared" si="56"/>
        <v>0.4466835921509635</v>
      </c>
      <c r="AS55" s="116">
        <f t="shared" si="18"/>
        <v>4.838709677419355</v>
      </c>
      <c r="AT55" s="116"/>
      <c r="AU55" s="116">
        <f t="shared" si="20"/>
        <v>0.06349206349206349</v>
      </c>
      <c r="AV55" s="116">
        <f t="shared" si="21"/>
        <v>0.061538461538461535</v>
      </c>
      <c r="AW55" s="95">
        <f t="shared" si="24"/>
        <v>10.742857142857142</v>
      </c>
      <c r="AX55" s="95">
        <f t="shared" si="57"/>
        <v>5.792857142857142</v>
      </c>
      <c r="AY55" s="95"/>
      <c r="AZ55" s="95">
        <f t="shared" si="58"/>
        <v>4.95</v>
      </c>
      <c r="BA55" s="113"/>
      <c r="BB55" s="113"/>
      <c r="BC55" s="116">
        <f t="shared" si="59"/>
        <v>178.5324470457079</v>
      </c>
      <c r="BD55" s="116">
        <f t="shared" si="60"/>
        <v>120.46607142857144</v>
      </c>
      <c r="BE55" s="120">
        <f t="shared" si="61"/>
        <v>19.420288740370964</v>
      </c>
      <c r="BF55" s="117">
        <f>(('[1]setup'!$B$13*'[1]setup'!$B$14*'[1]setup'!$B$15)/10^(-R55))*10^6</f>
        <v>26.545676868763778</v>
      </c>
      <c r="BG55" s="118">
        <f t="shared" si="62"/>
        <v>5.167769440591507</v>
      </c>
      <c r="BH55" s="117">
        <f t="shared" si="63"/>
        <v>58.06637561713646</v>
      </c>
      <c r="BI55" s="117">
        <f t="shared" si="64"/>
        <v>178.97913063785887</v>
      </c>
      <c r="BJ55" s="117">
        <f t="shared" si="65"/>
        <v>152.17951773792674</v>
      </c>
      <c r="BK55" s="119">
        <f t="shared" si="66"/>
        <v>8.092680964659875</v>
      </c>
      <c r="BL55" s="113"/>
      <c r="BM55" s="116">
        <f>(3*('[1]setup'!$D$19*(10^-R55)^3)+2*('[1]setup'!$D$20*'[1]setup'!$D$19*((10^-R55)^2))+('[1]setup'!$D$21*'[1]setup'!$D$19*10^-R55)+('[1]setup'!$D$19*'[1]setup'!$D$22*(AP55/(10^6*2))*(10^-R55)^3))*10^6</f>
        <v>0.0005474470694519502</v>
      </c>
      <c r="BN55" s="95">
        <f t="shared" si="55"/>
        <v>31.967929787593135</v>
      </c>
      <c r="BO55" s="117">
        <f>(BN55/((('[1]setup'!$C$26)/10^-R55)+2*(('[1]setup'!$C$26*'[1]setup'!$C$27)/(10^-R55^2))+3*(('[1]setup'!$C$26*'[1]setup'!$C$27*'[1]setup'!$C$28)/(10^-R55^3))))/(10^-R55^3/(10^-R55^3+'[1]setup'!$C$26*10^-R55^2+'[1]setup'!$C$26*'[1]setup'!$C$27*10^-R55+'[1]setup'!$C$26*'[1]setup'!$C$27*'[1]setup'!$C$28))</f>
        <v>13.180443600352193</v>
      </c>
      <c r="BP55" s="113"/>
      <c r="BQ55" s="111">
        <f t="shared" si="0"/>
        <v>178.5324470457079</v>
      </c>
      <c r="BR55" s="111">
        <f t="shared" si="1"/>
        <v>120.46607142857144</v>
      </c>
      <c r="BS55" s="111">
        <f t="shared" si="2"/>
        <v>1.482014354154199</v>
      </c>
      <c r="BT55" s="111">
        <f t="shared" si="3"/>
        <v>57.06637561713646</v>
      </c>
      <c r="BU55" s="111">
        <f t="shared" si="4"/>
        <v>1.5964572061795186</v>
      </c>
    </row>
    <row r="56" spans="1:73" ht="12.75">
      <c r="A56" s="58">
        <v>39535</v>
      </c>
      <c r="B56" s="2" t="s">
        <v>37</v>
      </c>
      <c r="C56" s="60">
        <v>929094</v>
      </c>
      <c r="D56" s="60"/>
      <c r="E56" s="67">
        <v>0.006</v>
      </c>
      <c r="F56" s="67">
        <v>0.002</v>
      </c>
      <c r="G56" s="67">
        <v>0.02</v>
      </c>
      <c r="H56" s="67">
        <v>3.201</v>
      </c>
      <c r="I56" s="61">
        <v>0.01</v>
      </c>
      <c r="J56" s="62">
        <v>0.05291</v>
      </c>
      <c r="K56" s="61">
        <v>0.005</v>
      </c>
      <c r="L56" s="67">
        <v>0.1651</v>
      </c>
      <c r="M56" s="67">
        <v>0.5003</v>
      </c>
      <c r="N56" s="67">
        <v>0.3005</v>
      </c>
      <c r="O56" s="67">
        <v>2.589</v>
      </c>
      <c r="P56" s="61">
        <v>0.6619</v>
      </c>
      <c r="Q56" s="62">
        <v>2.545</v>
      </c>
      <c r="R56" s="62">
        <v>6.32</v>
      </c>
      <c r="S56" s="62">
        <v>17.3</v>
      </c>
      <c r="T56" s="62">
        <v>22.018</v>
      </c>
      <c r="U56" s="67">
        <v>0.05</v>
      </c>
      <c r="V56" s="67"/>
      <c r="W56" s="67">
        <v>0.002</v>
      </c>
      <c r="X56" s="105">
        <v>0.002</v>
      </c>
      <c r="Y56" s="61">
        <v>0.5</v>
      </c>
      <c r="Z56" s="61">
        <v>0.1058</v>
      </c>
      <c r="AA56" s="62">
        <v>0.04289000000000001</v>
      </c>
      <c r="AB56" s="61"/>
      <c r="AC56" s="61"/>
      <c r="AD56" s="35"/>
      <c r="AE56" s="116">
        <f t="shared" si="5"/>
        <v>0.2142857142857143</v>
      </c>
      <c r="AF56" s="116">
        <f t="shared" si="6"/>
        <v>0.07272727272727272</v>
      </c>
      <c r="AG56" s="116">
        <f t="shared" si="7"/>
        <v>2.2222222222222223</v>
      </c>
      <c r="AH56" s="116">
        <f t="shared" si="8"/>
        <v>457.2857142857143</v>
      </c>
      <c r="AI56" s="116">
        <f t="shared" si="9"/>
        <v>0.7142857142857143</v>
      </c>
      <c r="AJ56" s="116">
        <f t="shared" si="10"/>
        <v>3.7792857142857144</v>
      </c>
      <c r="AK56" s="116">
        <f t="shared" si="11"/>
        <v>0.4838709677419355</v>
      </c>
      <c r="AL56" s="116">
        <f t="shared" si="12"/>
        <v>4.2333333333333325</v>
      </c>
      <c r="AM56" s="116">
        <f t="shared" si="13"/>
        <v>25.015</v>
      </c>
      <c r="AN56" s="116">
        <f t="shared" si="14"/>
        <v>25.041666666666668</v>
      </c>
      <c r="AO56" s="116">
        <f t="shared" si="15"/>
        <v>112.56521739130434</v>
      </c>
      <c r="AP56" s="116">
        <f t="shared" si="16"/>
        <v>41.368750000000006</v>
      </c>
      <c r="AQ56" s="116">
        <f t="shared" si="17"/>
        <v>72.71428571428572</v>
      </c>
      <c r="AR56" s="95">
        <f t="shared" si="56"/>
        <v>0.478630092322638</v>
      </c>
      <c r="AS56" s="116">
        <f t="shared" si="18"/>
        <v>4.838709677419355</v>
      </c>
      <c r="AT56" s="116"/>
      <c r="AU56" s="116">
        <f t="shared" si="20"/>
        <v>0.06349206349206349</v>
      </c>
      <c r="AV56" s="116">
        <f t="shared" si="21"/>
        <v>0.061538461538461535</v>
      </c>
      <c r="AW56" s="95">
        <f t="shared" si="24"/>
        <v>7.557142857142858</v>
      </c>
      <c r="AX56" s="95">
        <f t="shared" si="57"/>
        <v>3.0635714285714295</v>
      </c>
      <c r="AY56" s="95"/>
      <c r="AZ56" s="95">
        <f t="shared" si="58"/>
        <v>4.493571428571428</v>
      </c>
      <c r="BA56" s="113"/>
      <c r="BB56" s="113"/>
      <c r="BC56" s="116">
        <f t="shared" si="59"/>
        <v>167.56950310559006</v>
      </c>
      <c r="BD56" s="116">
        <f t="shared" si="60"/>
        <v>117.86232142857145</v>
      </c>
      <c r="BE56" s="120">
        <f t="shared" si="61"/>
        <v>17.414730035146967</v>
      </c>
      <c r="BF56" s="117">
        <f>(('[1]setup'!$B$13*'[1]setup'!$B$14*'[1]setup'!$B$15)/10^(-R56))*10^6</f>
        <v>24.77386710534105</v>
      </c>
      <c r="BG56" s="118">
        <f t="shared" si="62"/>
        <v>4.7218018981766905</v>
      </c>
      <c r="BH56" s="117">
        <f t="shared" si="63"/>
        <v>49.70718167701861</v>
      </c>
      <c r="BI56" s="117">
        <f t="shared" si="64"/>
        <v>168.0481331979127</v>
      </c>
      <c r="BJ56" s="117">
        <f t="shared" si="65"/>
        <v>147.3579904320892</v>
      </c>
      <c r="BK56" s="119">
        <f t="shared" si="66"/>
        <v>6.559841808935453</v>
      </c>
      <c r="BL56" s="113"/>
      <c r="BM56" s="116">
        <f>(3*('[1]setup'!$D$19*(10^-R56)^3)+2*('[1]setup'!$D$20*'[1]setup'!$D$19*((10^-R56)^2))+('[1]setup'!$D$21*'[1]setup'!$D$19*10^-R56)+('[1]setup'!$D$19*'[1]setup'!$D$22*(AP56/(10^6*2))*(10^-R56)^3))*10^6</f>
        <v>0.0006007380307232928</v>
      </c>
      <c r="BN56" s="95">
        <f t="shared" si="55"/>
        <v>25.41254540203093</v>
      </c>
      <c r="BO56" s="117">
        <f>(BN56/((('[1]setup'!$C$26)/10^-R56)+2*(('[1]setup'!$C$26*'[1]setup'!$C$27)/(10^-R56^2))+3*(('[1]setup'!$C$26*'[1]setup'!$C$27*'[1]setup'!$C$28)/(10^-R56^3))))/(10^-R56^3/(10^-R56^3+'[1]setup'!$C$26*10^-R56^2+'[1]setup'!$C$26*'[1]setup'!$C$27*10^-R56+'[1]setup'!$C$26*'[1]setup'!$C$27*'[1]setup'!$C$28))</f>
        <v>10.555803368261834</v>
      </c>
      <c r="BP56" s="113"/>
      <c r="BQ56" s="111">
        <f t="shared" si="0"/>
        <v>167.56950310559006</v>
      </c>
      <c r="BR56" s="111">
        <f t="shared" si="1"/>
        <v>117.86232142857145</v>
      </c>
      <c r="BS56" s="111">
        <f t="shared" si="2"/>
        <v>1.4217393741658384</v>
      </c>
      <c r="BT56" s="111">
        <f t="shared" si="3"/>
        <v>48.99289596273289</v>
      </c>
      <c r="BU56" s="111">
        <f t="shared" si="4"/>
        <v>1.5480481763047746</v>
      </c>
    </row>
    <row r="57" spans="1:73" ht="12.75">
      <c r="A57" s="58">
        <v>39553</v>
      </c>
      <c r="B57" s="2" t="s">
        <v>37</v>
      </c>
      <c r="C57" s="46"/>
      <c r="D57" s="46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101"/>
      <c r="Y57" s="61"/>
      <c r="Z57" s="61"/>
      <c r="AA57" s="62"/>
      <c r="AB57" s="61"/>
      <c r="AC57" s="61"/>
      <c r="AD57" s="35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95"/>
      <c r="AS57" s="116"/>
      <c r="AT57" s="116"/>
      <c r="AU57" s="116"/>
      <c r="AV57" s="116"/>
      <c r="AW57" s="95"/>
      <c r="AX57" s="95"/>
      <c r="AY57" s="95"/>
      <c r="AZ57" s="95"/>
      <c r="BA57" s="113"/>
      <c r="BB57" s="113"/>
      <c r="BC57" s="116"/>
      <c r="BD57" s="116"/>
      <c r="BE57" s="120"/>
      <c r="BF57" s="117"/>
      <c r="BG57" s="118"/>
      <c r="BH57" s="117"/>
      <c r="BI57" s="117"/>
      <c r="BJ57" s="117"/>
      <c r="BK57" s="119"/>
      <c r="BL57" s="113"/>
      <c r="BM57" s="116"/>
      <c r="BN57" s="95"/>
      <c r="BO57" s="117"/>
      <c r="BP57" s="113"/>
      <c r="BQ57" s="111"/>
      <c r="BR57" s="111"/>
      <c r="BS57" s="111"/>
      <c r="BT57" s="111"/>
      <c r="BU57" s="111"/>
    </row>
    <row r="58" spans="1:73" ht="12.75">
      <c r="A58" s="58">
        <v>39575</v>
      </c>
      <c r="B58" s="2" t="s">
        <v>37</v>
      </c>
      <c r="C58" s="60">
        <v>933286</v>
      </c>
      <c r="D58" s="60"/>
      <c r="E58" s="67">
        <v>0.006</v>
      </c>
      <c r="F58" s="67">
        <v>0.002</v>
      </c>
      <c r="G58" s="67">
        <v>0.02386</v>
      </c>
      <c r="H58" s="67">
        <v>2.875</v>
      </c>
      <c r="I58" s="61">
        <v>0.01</v>
      </c>
      <c r="J58" s="62">
        <v>0.06566</v>
      </c>
      <c r="K58" s="101">
        <v>0.005</v>
      </c>
      <c r="L58" s="67">
        <v>0.1331</v>
      </c>
      <c r="M58" s="67">
        <v>0.4259</v>
      </c>
      <c r="N58" s="67">
        <v>0.2604</v>
      </c>
      <c r="O58" s="67">
        <v>2.315</v>
      </c>
      <c r="P58" s="61">
        <v>0.6491</v>
      </c>
      <c r="Q58" s="62">
        <v>2.64</v>
      </c>
      <c r="R58" s="62">
        <v>6.19</v>
      </c>
      <c r="S58" s="62">
        <v>18</v>
      </c>
      <c r="T58" s="62">
        <v>20.193</v>
      </c>
      <c r="U58" s="61">
        <v>0.05</v>
      </c>
      <c r="V58" s="61"/>
      <c r="W58" s="61">
        <v>0.002</v>
      </c>
      <c r="X58" s="101">
        <v>0.002</v>
      </c>
      <c r="Y58" s="61">
        <v>1.099</v>
      </c>
      <c r="Z58" s="61">
        <v>0.3207</v>
      </c>
      <c r="AA58" s="62">
        <v>0.24503999999999998</v>
      </c>
      <c r="AB58" s="61"/>
      <c r="AC58" s="61"/>
      <c r="AD58" s="35"/>
      <c r="AE58" s="116">
        <f t="shared" si="5"/>
        <v>0.2142857142857143</v>
      </c>
      <c r="AF58" s="116">
        <f t="shared" si="6"/>
        <v>0.07272727272727272</v>
      </c>
      <c r="AG58" s="116">
        <f t="shared" si="7"/>
        <v>2.651111111111111</v>
      </c>
      <c r="AH58" s="116">
        <f t="shared" si="8"/>
        <v>410.7142857142857</v>
      </c>
      <c r="AI58" s="116">
        <f t="shared" si="9"/>
        <v>0.7142857142857143</v>
      </c>
      <c r="AJ58" s="116">
        <f t="shared" si="10"/>
        <v>4.6899999999999995</v>
      </c>
      <c r="AK58" s="116">
        <f t="shared" si="11"/>
        <v>0.4838709677419355</v>
      </c>
      <c r="AL58" s="116">
        <f t="shared" si="12"/>
        <v>3.4128205128205127</v>
      </c>
      <c r="AM58" s="116">
        <f t="shared" si="13"/>
        <v>21.295</v>
      </c>
      <c r="AN58" s="116">
        <f t="shared" si="14"/>
        <v>21.7</v>
      </c>
      <c r="AO58" s="116">
        <f t="shared" si="15"/>
        <v>100.65217391304347</v>
      </c>
      <c r="AP58" s="116">
        <f t="shared" si="16"/>
        <v>40.56875</v>
      </c>
      <c r="AQ58" s="116">
        <f t="shared" si="17"/>
        <v>75.42857142857143</v>
      </c>
      <c r="AR58" s="95">
        <f t="shared" si="56"/>
        <v>0.6456542290346549</v>
      </c>
      <c r="AS58" s="116">
        <f t="shared" si="18"/>
        <v>4.838709677419355</v>
      </c>
      <c r="AT58" s="116"/>
      <c r="AU58" s="116">
        <f t="shared" si="20"/>
        <v>0.06349206349206349</v>
      </c>
      <c r="AV58" s="116">
        <f t="shared" si="21"/>
        <v>0.061538461538461535</v>
      </c>
      <c r="AW58" s="95">
        <f t="shared" si="24"/>
        <v>22.907142857142855</v>
      </c>
      <c r="AX58" s="95">
        <f t="shared" si="57"/>
        <v>17.502857142857142</v>
      </c>
      <c r="AY58" s="95"/>
      <c r="AZ58" s="95">
        <f t="shared" si="58"/>
        <v>5.404285714285714</v>
      </c>
      <c r="BA58" s="113"/>
      <c r="BB58" s="113"/>
      <c r="BC58" s="116">
        <f t="shared" si="59"/>
        <v>147.7742801401497</v>
      </c>
      <c r="BD58" s="116">
        <f t="shared" si="60"/>
        <v>120.68732142857144</v>
      </c>
      <c r="BE58" s="120">
        <f t="shared" si="61"/>
        <v>10.089695715625279</v>
      </c>
      <c r="BF58" s="117">
        <f>(('[1]setup'!$B$13*'[1]setup'!$B$14*'[1]setup'!$B$15)/10^(-R58))*10^6</f>
        <v>18.36512140181726</v>
      </c>
      <c r="BG58" s="118">
        <f t="shared" si="62"/>
        <v>10.268588826990035</v>
      </c>
      <c r="BH58" s="117">
        <f t="shared" si="63"/>
        <v>27.086958711578262</v>
      </c>
      <c r="BI58" s="117">
        <f t="shared" si="64"/>
        <v>148.41993436918435</v>
      </c>
      <c r="BJ58" s="117">
        <f t="shared" si="65"/>
        <v>149.3210316573787</v>
      </c>
      <c r="BK58" s="119">
        <f t="shared" si="66"/>
        <v>0.3026447116833673</v>
      </c>
      <c r="BL58" s="113"/>
      <c r="BM58" s="116">
        <f>(3*('[1]setup'!$D$19*(10^-R58)^3)+2*('[1]setup'!$D$20*'[1]setup'!$D$19*((10^-R58)^2))+('[1]setup'!$D$21*'[1]setup'!$D$19*10^-R58)+('[1]setup'!$D$19*'[1]setup'!$D$22*(AP58/(10^6*2))*(10^-R58)^3))*10^6</f>
        <v>0.0009165187540758968</v>
      </c>
      <c r="BN58" s="95">
        <f t="shared" si="55"/>
        <v>9.368408057549743</v>
      </c>
      <c r="BO58" s="117">
        <f>(BN58/((('[1]setup'!$C$26)/10^-R58)+2*(('[1]setup'!$C$26*'[1]setup'!$C$27)/(10^-R58^2))+3*(('[1]setup'!$C$26*'[1]setup'!$C$27*'[1]setup'!$C$28)/(10^-R58^3))))/(10^-R58^3/(10^-R58^3+'[1]setup'!$C$26*10^-R58^2+'[1]setup'!$C$26*'[1]setup'!$C$27*10^-R58+'[1]setup'!$C$26*'[1]setup'!$C$27*'[1]setup'!$C$28))</f>
        <v>4.018573853663013</v>
      </c>
      <c r="BP58" s="113"/>
      <c r="BQ58" s="111">
        <f t="shared" si="0"/>
        <v>147.7742801401497</v>
      </c>
      <c r="BR58" s="111">
        <f t="shared" si="1"/>
        <v>120.68732142857144</v>
      </c>
      <c r="BS58" s="111">
        <f t="shared" si="2"/>
        <v>1.2244391406731951</v>
      </c>
      <c r="BT58" s="111">
        <f t="shared" si="3"/>
        <v>26.37267299729254</v>
      </c>
      <c r="BU58" s="111">
        <f t="shared" si="4"/>
        <v>1.334403820816864</v>
      </c>
    </row>
    <row r="59" spans="1:73" ht="12.75">
      <c r="A59" s="58">
        <v>39601</v>
      </c>
      <c r="B59" s="2" t="s">
        <v>37</v>
      </c>
      <c r="C59" s="60">
        <v>935728</v>
      </c>
      <c r="D59" s="60"/>
      <c r="E59" s="67">
        <v>0.006</v>
      </c>
      <c r="F59" s="67">
        <v>0.002</v>
      </c>
      <c r="G59" s="67">
        <v>0.02</v>
      </c>
      <c r="H59" s="67">
        <v>3.041</v>
      </c>
      <c r="I59" s="61">
        <v>0.018</v>
      </c>
      <c r="J59" s="62">
        <v>0.08398</v>
      </c>
      <c r="K59" s="101">
        <v>0.005</v>
      </c>
      <c r="L59" s="67">
        <v>0.4315</v>
      </c>
      <c r="M59" s="67">
        <v>0.6041</v>
      </c>
      <c r="N59" s="67">
        <v>0.4014</v>
      </c>
      <c r="O59" s="67">
        <v>2.678</v>
      </c>
      <c r="P59" s="61">
        <v>0.7745</v>
      </c>
      <c r="Q59" s="62">
        <v>5.194</v>
      </c>
      <c r="R59" s="61">
        <v>6.29</v>
      </c>
      <c r="S59" s="61">
        <v>18</v>
      </c>
      <c r="T59" s="61">
        <v>21.851</v>
      </c>
      <c r="U59" s="67">
        <v>0.05</v>
      </c>
      <c r="V59" s="67"/>
      <c r="W59" s="67">
        <v>0.002</v>
      </c>
      <c r="X59" s="105">
        <v>0.002</v>
      </c>
      <c r="Y59" s="61">
        <v>0.8619</v>
      </c>
      <c r="Z59" s="61">
        <v>0.2605</v>
      </c>
      <c r="AA59" s="62">
        <v>0.15852</v>
      </c>
      <c r="AB59" s="61"/>
      <c r="AC59" s="61"/>
      <c r="AD59" s="35"/>
      <c r="AE59" s="116">
        <f t="shared" si="5"/>
        <v>0.2142857142857143</v>
      </c>
      <c r="AF59" s="116">
        <f t="shared" si="6"/>
        <v>0.07272727272727272</v>
      </c>
      <c r="AG59" s="116">
        <f t="shared" si="7"/>
        <v>2.2222222222222223</v>
      </c>
      <c r="AH59" s="116">
        <f t="shared" si="8"/>
        <v>434.42857142857144</v>
      </c>
      <c r="AI59" s="116">
        <f t="shared" si="9"/>
        <v>1.2857142857142856</v>
      </c>
      <c r="AJ59" s="116">
        <f t="shared" si="10"/>
        <v>5.998571428571428</v>
      </c>
      <c r="AK59" s="116">
        <f t="shared" si="11"/>
        <v>0.4838709677419355</v>
      </c>
      <c r="AL59" s="116">
        <f t="shared" si="12"/>
        <v>11.064102564102564</v>
      </c>
      <c r="AM59" s="116">
        <f t="shared" si="13"/>
        <v>30.205</v>
      </c>
      <c r="AN59" s="116">
        <f t="shared" si="14"/>
        <v>33.45</v>
      </c>
      <c r="AO59" s="116">
        <f t="shared" si="15"/>
        <v>116.43478260869566</v>
      </c>
      <c r="AP59" s="116">
        <f t="shared" si="16"/>
        <v>48.40625</v>
      </c>
      <c r="AQ59" s="116">
        <f t="shared" si="17"/>
        <v>148.4</v>
      </c>
      <c r="AR59" s="95">
        <f t="shared" si="56"/>
        <v>0.5128613839913648</v>
      </c>
      <c r="AS59" s="116">
        <f t="shared" si="18"/>
        <v>4.838709677419355</v>
      </c>
      <c r="AT59" s="116"/>
      <c r="AU59" s="116">
        <f t="shared" si="20"/>
        <v>0.06349206349206349</v>
      </c>
      <c r="AV59" s="116">
        <f t="shared" si="21"/>
        <v>0.061538461538461535</v>
      </c>
      <c r="AW59" s="95">
        <f t="shared" si="24"/>
        <v>18.607142857142858</v>
      </c>
      <c r="AX59" s="95">
        <f t="shared" si="57"/>
        <v>11.322857142857144</v>
      </c>
      <c r="AY59" s="95"/>
      <c r="AZ59" s="95">
        <f t="shared" si="58"/>
        <v>7.284285714285714</v>
      </c>
      <c r="BA59" s="113"/>
      <c r="BB59" s="113"/>
      <c r="BC59" s="116">
        <f t="shared" si="59"/>
        <v>192.4395994585125</v>
      </c>
      <c r="BD59" s="116">
        <f t="shared" si="60"/>
        <v>202.80482142857144</v>
      </c>
      <c r="BE59" s="120">
        <f t="shared" si="61"/>
        <v>2.6224840686670046</v>
      </c>
      <c r="BF59" s="117">
        <f>(('[1]setup'!$B$13*'[1]setup'!$B$14*'[1]setup'!$B$15)/10^(-R59))*10^6</f>
        <v>23.120318023432645</v>
      </c>
      <c r="BG59" s="118">
        <f t="shared" si="62"/>
        <v>8.120588987243655</v>
      </c>
      <c r="BH59" s="117">
        <f t="shared" si="63"/>
        <v>-10.36522197005894</v>
      </c>
      <c r="BI59" s="117">
        <f t="shared" si="64"/>
        <v>192.95246084250385</v>
      </c>
      <c r="BJ59" s="117">
        <f t="shared" si="65"/>
        <v>234.04572843924774</v>
      </c>
      <c r="BK59" s="119">
        <f t="shared" si="66"/>
        <v>9.623756874910024</v>
      </c>
      <c r="BL59" s="113"/>
      <c r="BM59" s="116">
        <f>(3*('[1]setup'!$D$19*(10^-R59)^3)+2*('[1]setup'!$D$20*'[1]setup'!$D$19*((10^-R59)^2))+('[1]setup'!$D$21*'[1]setup'!$D$19*10^-R59)+('[1]setup'!$D$19*'[1]setup'!$D$22*(AP59/(10^6*2))*(10^-R59)^3))*10^6</f>
        <v>0.0006603199532659847</v>
      </c>
      <c r="BN59" s="95">
        <f t="shared" si="55"/>
        <v>-32.97201828954698</v>
      </c>
      <c r="BO59" s="117">
        <f>(BN59/((('[1]setup'!$C$26)/10^-R59)+2*(('[1]setup'!$C$26*'[1]setup'!$C$27)/(10^-R59^2))+3*(('[1]setup'!$C$26*'[1]setup'!$C$27*'[1]setup'!$C$28)/(10^-R59^3))))/(10^-R59^3/(10^-R59^3+'[1]setup'!$C$26*10^-R59^2+'[1]setup'!$C$26*'[1]setup'!$C$27*10^-R59+'[1]setup'!$C$26*'[1]setup'!$C$27*'[1]setup'!$C$28))</f>
        <v>-13.798142662084208</v>
      </c>
      <c r="BP59" s="113"/>
      <c r="BQ59" s="111">
        <f t="shared" si="0"/>
        <v>192.4395994585125</v>
      </c>
      <c r="BR59" s="111">
        <f t="shared" si="1"/>
        <v>202.80482142857144</v>
      </c>
      <c r="BS59" s="111">
        <f t="shared" si="2"/>
        <v>0.9488906531065406</v>
      </c>
      <c r="BT59" s="111">
        <f t="shared" si="3"/>
        <v>-11.650936255773217</v>
      </c>
      <c r="BU59" s="111">
        <f t="shared" si="4"/>
        <v>0.7846009609750381</v>
      </c>
    </row>
    <row r="60" spans="1:73" ht="12.75">
      <c r="A60" s="58">
        <v>39637</v>
      </c>
      <c r="B60" s="2" t="s">
        <v>37</v>
      </c>
      <c r="C60" s="60">
        <v>940497</v>
      </c>
      <c r="D60" s="60"/>
      <c r="E60" s="67">
        <v>0.006</v>
      </c>
      <c r="F60" s="67">
        <v>0.002</v>
      </c>
      <c r="G60" s="67">
        <v>0.06244</v>
      </c>
      <c r="H60" s="67">
        <v>2.396</v>
      </c>
      <c r="I60" s="61">
        <v>0.01</v>
      </c>
      <c r="J60" s="61">
        <v>0.0497</v>
      </c>
      <c r="K60" s="101">
        <v>0.005</v>
      </c>
      <c r="L60" s="67">
        <v>0.1</v>
      </c>
      <c r="M60" s="67">
        <v>0.4408</v>
      </c>
      <c r="N60" s="67">
        <v>0.2824</v>
      </c>
      <c r="O60" s="67">
        <v>2.471</v>
      </c>
      <c r="P60" s="61">
        <v>0.5993</v>
      </c>
      <c r="Q60" s="61">
        <v>2.658</v>
      </c>
      <c r="R60" s="61">
        <v>6.28</v>
      </c>
      <c r="S60" s="61">
        <v>17.3</v>
      </c>
      <c r="T60" s="61">
        <v>18.933</v>
      </c>
      <c r="U60" s="67">
        <v>0.1279</v>
      </c>
      <c r="V60" s="67"/>
      <c r="W60" s="67">
        <v>0.007253</v>
      </c>
      <c r="X60" s="105">
        <v>0.002</v>
      </c>
      <c r="Y60" s="61">
        <v>1.823</v>
      </c>
      <c r="Z60" s="61">
        <v>0.1185</v>
      </c>
      <c r="AA60" s="62">
        <v>0.05879999999999999</v>
      </c>
      <c r="AB60" s="61"/>
      <c r="AC60" s="61"/>
      <c r="AD60" s="35"/>
      <c r="AE60" s="116">
        <f t="shared" si="5"/>
        <v>0.2142857142857143</v>
      </c>
      <c r="AF60" s="116">
        <f t="shared" si="6"/>
        <v>0.07272727272727272</v>
      </c>
      <c r="AG60" s="116">
        <f t="shared" si="7"/>
        <v>6.937777777777778</v>
      </c>
      <c r="AH60" s="116">
        <f t="shared" si="8"/>
        <v>342.2857142857142</v>
      </c>
      <c r="AI60" s="116">
        <f t="shared" si="9"/>
        <v>0.7142857142857143</v>
      </c>
      <c r="AJ60" s="116">
        <f t="shared" si="10"/>
        <v>3.5500000000000003</v>
      </c>
      <c r="AK60" s="116">
        <f t="shared" si="11"/>
        <v>0.4838709677419355</v>
      </c>
      <c r="AL60" s="116">
        <f t="shared" si="12"/>
        <v>2.5641025641025643</v>
      </c>
      <c r="AM60" s="116">
        <f t="shared" si="13"/>
        <v>22.04</v>
      </c>
      <c r="AN60" s="116">
        <f t="shared" si="14"/>
        <v>23.53333333333333</v>
      </c>
      <c r="AO60" s="116">
        <f t="shared" si="15"/>
        <v>107.43478260869566</v>
      </c>
      <c r="AP60" s="116">
        <f t="shared" si="16"/>
        <v>37.456250000000004</v>
      </c>
      <c r="AQ60" s="116">
        <f t="shared" si="17"/>
        <v>75.94285714285715</v>
      </c>
      <c r="AR60" s="95">
        <f t="shared" si="56"/>
        <v>0.5248074602497723</v>
      </c>
      <c r="AS60" s="116">
        <f t="shared" si="18"/>
        <v>12.377419354838711</v>
      </c>
      <c r="AT60" s="116"/>
      <c r="AU60" s="116">
        <f t="shared" si="20"/>
        <v>0.23025396825396824</v>
      </c>
      <c r="AV60" s="116">
        <f t="shared" si="21"/>
        <v>0.061538461538461535</v>
      </c>
      <c r="AW60" s="95">
        <f t="shared" si="24"/>
        <v>8.464285714285714</v>
      </c>
      <c r="AX60" s="95">
        <f t="shared" si="57"/>
        <v>4.199999999999999</v>
      </c>
      <c r="AY60" s="95"/>
      <c r="AZ60" s="95">
        <f t="shared" si="58"/>
        <v>4.264285714285714</v>
      </c>
      <c r="BA60" s="113"/>
      <c r="BB60" s="113"/>
      <c r="BC60" s="116">
        <f t="shared" si="59"/>
        <v>156.28650422041727</v>
      </c>
      <c r="BD60" s="116">
        <f t="shared" si="60"/>
        <v>116.94910714285714</v>
      </c>
      <c r="BE60" s="120">
        <f t="shared" si="61"/>
        <v>14.39687780128336</v>
      </c>
      <c r="BF60" s="117">
        <f>(('[1]setup'!$B$13*'[1]setup'!$B$14*'[1]setup'!$B$15)/10^(-R60))*10^6</f>
        <v>22.59403533283386</v>
      </c>
      <c r="BG60" s="118">
        <f t="shared" si="62"/>
        <v>17.162233696218653</v>
      </c>
      <c r="BH60" s="117">
        <f t="shared" si="63"/>
        <v>39.33739707756011</v>
      </c>
      <c r="BI60" s="117">
        <f t="shared" si="64"/>
        <v>156.81131168066705</v>
      </c>
      <c r="BJ60" s="117">
        <f t="shared" si="65"/>
        <v>156.70537617190968</v>
      </c>
      <c r="BK60" s="119">
        <f t="shared" si="66"/>
        <v>0.03378943222543315</v>
      </c>
      <c r="BL60" s="113"/>
      <c r="BM60" s="116">
        <f>(3*('[1]setup'!$D$19*(10^-R60)^3)+2*('[1]setup'!$D$20*'[1]setup'!$D$19*((10^-R60)^2))+('[1]setup'!$D$21*'[1]setup'!$D$19*10^-R60)+('[1]setup'!$D$19*'[1]setup'!$D$22*(AP60/(10^6*2))*(10^-R60)^3))*10^6</f>
        <v>0.0006816445102697145</v>
      </c>
      <c r="BN60" s="95">
        <f t="shared" si="55"/>
        <v>17.268850849486313</v>
      </c>
      <c r="BO60" s="117">
        <f>(BN60/((('[1]setup'!$C$26)/10^-R60)+2*(('[1]setup'!$C$26*'[1]setup'!$C$27)/(10^-R60^2))+3*(('[1]setup'!$C$26*'[1]setup'!$C$27*'[1]setup'!$C$28)/(10^-R60^3))))/(10^-R60^3/(10^-R60^3+'[1]setup'!$C$26*10^-R60^2+'[1]setup'!$C$26*'[1]setup'!$C$27*10^-R60+'[1]setup'!$C$26*'[1]setup'!$C$27*'[1]setup'!$C$28))</f>
        <v>7.2446232958211265</v>
      </c>
      <c r="BP60" s="113"/>
      <c r="BQ60" s="111">
        <f t="shared" si="0"/>
        <v>156.28650422041727</v>
      </c>
      <c r="BR60" s="111">
        <f t="shared" si="1"/>
        <v>116.94910714285714</v>
      </c>
      <c r="BS60" s="111">
        <f t="shared" si="2"/>
        <v>1.3363633809491868</v>
      </c>
      <c r="BT60" s="111">
        <f t="shared" si="3"/>
        <v>38.623111363274404</v>
      </c>
      <c r="BU60" s="111">
        <f t="shared" si="4"/>
        <v>1.4146792292341412</v>
      </c>
    </row>
    <row r="61" spans="1:73" ht="12.75">
      <c r="A61" s="58">
        <v>39693</v>
      </c>
      <c r="B61" s="2" t="s">
        <v>37</v>
      </c>
      <c r="C61" s="60">
        <v>946517</v>
      </c>
      <c r="D61" s="60"/>
      <c r="E61" s="61">
        <v>0.02214</v>
      </c>
      <c r="F61" s="61">
        <v>0.002</v>
      </c>
      <c r="G61" s="61">
        <v>0.02</v>
      </c>
      <c r="H61" s="61">
        <v>2.697</v>
      </c>
      <c r="I61" s="61">
        <v>0.05</v>
      </c>
      <c r="J61" s="61">
        <v>0.05078</v>
      </c>
      <c r="K61" s="101">
        <v>0.005</v>
      </c>
      <c r="L61" s="61">
        <v>0.328</v>
      </c>
      <c r="M61" s="61">
        <v>0.9458</v>
      </c>
      <c r="N61" s="61">
        <v>0.4666</v>
      </c>
      <c r="O61" s="61">
        <v>3.513</v>
      </c>
      <c r="P61" s="62">
        <v>0.6756</v>
      </c>
      <c r="Q61" s="61">
        <v>2.801</v>
      </c>
      <c r="R61" s="61">
        <v>6.12</v>
      </c>
      <c r="S61" s="61">
        <v>19.4</v>
      </c>
      <c r="T61" s="61">
        <v>21.686</v>
      </c>
      <c r="U61" s="61">
        <v>0.05</v>
      </c>
      <c r="V61" s="16"/>
      <c r="W61" s="61">
        <v>0.002</v>
      </c>
      <c r="X61" s="101">
        <v>0.002</v>
      </c>
      <c r="Y61" s="61">
        <v>0.6187</v>
      </c>
      <c r="Z61" s="62">
        <v>0.1129</v>
      </c>
      <c r="AA61" s="62">
        <v>0.012119999999999992</v>
      </c>
      <c r="AB61" s="61"/>
      <c r="AC61" s="61"/>
      <c r="AD61" s="35"/>
      <c r="AE61" s="116">
        <f t="shared" si="5"/>
        <v>0.7907142857142858</v>
      </c>
      <c r="AF61" s="116">
        <f t="shared" si="6"/>
        <v>0.07272727272727272</v>
      </c>
      <c r="AG61" s="116">
        <f t="shared" si="7"/>
        <v>2.2222222222222223</v>
      </c>
      <c r="AH61" s="116">
        <f t="shared" si="8"/>
        <v>385.2857142857143</v>
      </c>
      <c r="AI61" s="116">
        <f t="shared" si="9"/>
        <v>3.5714285714285716</v>
      </c>
      <c r="AJ61" s="116">
        <f t="shared" si="10"/>
        <v>3.627142857142857</v>
      </c>
      <c r="AK61" s="116">
        <f t="shared" si="11"/>
        <v>0.4838709677419355</v>
      </c>
      <c r="AL61" s="116">
        <f t="shared" si="12"/>
        <v>8.41025641025641</v>
      </c>
      <c r="AM61" s="116">
        <f t="shared" si="13"/>
        <v>47.29</v>
      </c>
      <c r="AN61" s="116">
        <f t="shared" si="14"/>
        <v>38.88333333333333</v>
      </c>
      <c r="AO61" s="116">
        <f t="shared" si="15"/>
        <v>152.7391304347826</v>
      </c>
      <c r="AP61" s="116">
        <f t="shared" si="16"/>
        <v>42.225</v>
      </c>
      <c r="AQ61" s="116">
        <f t="shared" si="17"/>
        <v>80.02857142857144</v>
      </c>
      <c r="AR61" s="95">
        <f t="shared" si="56"/>
        <v>0.7585775750291835</v>
      </c>
      <c r="AS61" s="116">
        <f t="shared" si="18"/>
        <v>4.838709677419355</v>
      </c>
      <c r="AT61" s="116"/>
      <c r="AU61" s="116">
        <f t="shared" si="20"/>
        <v>0.06349206349206349</v>
      </c>
      <c r="AV61" s="116">
        <f t="shared" si="21"/>
        <v>0.061538461538461535</v>
      </c>
      <c r="AW61" s="95">
        <f t="shared" si="24"/>
        <v>8.064285714285715</v>
      </c>
      <c r="AX61" s="95">
        <f t="shared" si="57"/>
        <v>0.8657142857142865</v>
      </c>
      <c r="AY61" s="95"/>
      <c r="AZ61" s="95">
        <f t="shared" si="58"/>
        <v>7.198571428571428</v>
      </c>
      <c r="BA61" s="113"/>
      <c r="BB61" s="113"/>
      <c r="BC61" s="116">
        <f t="shared" si="59"/>
        <v>250.8941487498009</v>
      </c>
      <c r="BD61" s="116">
        <f t="shared" si="60"/>
        <v>125.8807142857143</v>
      </c>
      <c r="BE61" s="120">
        <f t="shared" si="61"/>
        <v>33.179876559945214</v>
      </c>
      <c r="BF61" s="117">
        <f>(('[1]setup'!$B$13*'[1]setup'!$B$14*'[1]setup'!$B$15)/10^(-R61))*10^6</f>
        <v>15.631253401291202</v>
      </c>
      <c r="BG61" s="118">
        <f t="shared" si="62"/>
        <v>5.743915609408341</v>
      </c>
      <c r="BH61" s="117">
        <f t="shared" si="63"/>
        <v>125.01343446408661</v>
      </c>
      <c r="BI61" s="117">
        <f t="shared" si="64"/>
        <v>251.6527263248301</v>
      </c>
      <c r="BJ61" s="117">
        <f t="shared" si="65"/>
        <v>147.25588329641383</v>
      </c>
      <c r="BK61" s="119">
        <f t="shared" si="66"/>
        <v>26.17061665516296</v>
      </c>
      <c r="BL61" s="113"/>
      <c r="BM61" s="116">
        <f>(3*('[1]setup'!$D$19*(10^-R61)^3)+2*('[1]setup'!$D$20*'[1]setup'!$D$19*((10^-R61)^2))+('[1]setup'!$D$21*'[1]setup'!$D$19*10^-R61)+('[1]setup'!$D$19*'[1]setup'!$D$22*(AP61/(10^6*2))*(10^-R61)^3))*10^6</f>
        <v>0.0011683993644867247</v>
      </c>
      <c r="BN61" s="95">
        <f t="shared" si="55"/>
        <v>110.14192703718908</v>
      </c>
      <c r="BO61" s="117">
        <f>(BN61/((('[1]setup'!$C$26)/10^-R61)+2*(('[1]setup'!$C$26*'[1]setup'!$C$27)/(10^-R61^2))+3*(('[1]setup'!$C$26*'[1]setup'!$C$27*'[1]setup'!$C$28)/(10^-R61^3))))/(10^-R61^3/(10^-R61^3+'[1]setup'!$C$26*10^-R61^2+'[1]setup'!$C$26*'[1]setup'!$C$27*10^-R61+'[1]setup'!$C$26*'[1]setup'!$C$27*'[1]setup'!$C$28))</f>
        <v>48.05696841142274</v>
      </c>
      <c r="BP61" s="113"/>
      <c r="BQ61" s="111">
        <f t="shared" si="0"/>
        <v>250.8941487498009</v>
      </c>
      <c r="BR61" s="111">
        <f t="shared" si="1"/>
        <v>125.8807142857143</v>
      </c>
      <c r="BS61" s="111">
        <f t="shared" si="2"/>
        <v>1.9931103042547151</v>
      </c>
      <c r="BT61" s="111">
        <f t="shared" si="3"/>
        <v>121.44200589265802</v>
      </c>
      <c r="BU61" s="111">
        <f t="shared" si="4"/>
        <v>1.9085575027552268</v>
      </c>
    </row>
    <row r="62" spans="1:73" ht="12.75">
      <c r="A62" s="58">
        <v>39707</v>
      </c>
      <c r="B62" s="2" t="s">
        <v>37</v>
      </c>
      <c r="C62" s="60">
        <v>947729</v>
      </c>
      <c r="D62" s="60"/>
      <c r="E62" s="61">
        <v>0.01921</v>
      </c>
      <c r="F62" s="61">
        <v>0.002095</v>
      </c>
      <c r="G62" s="61">
        <v>0.02</v>
      </c>
      <c r="H62" s="61">
        <v>2.236</v>
      </c>
      <c r="I62" s="62">
        <v>0.066</v>
      </c>
      <c r="J62" s="62">
        <v>0.04753</v>
      </c>
      <c r="K62" s="101">
        <v>0.005</v>
      </c>
      <c r="L62" s="61">
        <v>0.355</v>
      </c>
      <c r="M62" s="61">
        <v>0.919</v>
      </c>
      <c r="N62" s="61">
        <v>0.4497</v>
      </c>
      <c r="O62" s="61">
        <v>4.467</v>
      </c>
      <c r="P62" s="62">
        <v>0.6843</v>
      </c>
      <c r="Q62" s="62">
        <v>3.148</v>
      </c>
      <c r="R62" s="62">
        <v>6.43</v>
      </c>
      <c r="S62" s="62">
        <v>19.5</v>
      </c>
      <c r="T62" s="62">
        <v>23.51</v>
      </c>
      <c r="U62" s="61">
        <v>0.05</v>
      </c>
      <c r="V62" s="16"/>
      <c r="W62" s="61">
        <v>0.002</v>
      </c>
      <c r="X62" s="101">
        <v>0.005581</v>
      </c>
      <c r="Y62" s="61">
        <v>1.377</v>
      </c>
      <c r="Z62" s="61">
        <v>0.413</v>
      </c>
      <c r="AA62" s="62">
        <v>0.29946999999999996</v>
      </c>
      <c r="AB62" s="61"/>
      <c r="AC62" s="61"/>
      <c r="AD62" s="35"/>
      <c r="AE62" s="116">
        <f t="shared" si="5"/>
        <v>0.6860714285714286</v>
      </c>
      <c r="AF62" s="116">
        <f t="shared" si="6"/>
        <v>0.07618181818181818</v>
      </c>
      <c r="AG62" s="116">
        <f t="shared" si="7"/>
        <v>2.2222222222222223</v>
      </c>
      <c r="AH62" s="116">
        <f t="shared" si="8"/>
        <v>319.42857142857144</v>
      </c>
      <c r="AI62" s="116">
        <f t="shared" si="9"/>
        <v>4.714285714285714</v>
      </c>
      <c r="AJ62" s="116">
        <f t="shared" si="10"/>
        <v>3.395</v>
      </c>
      <c r="AK62" s="116">
        <f t="shared" si="11"/>
        <v>0.4838709677419355</v>
      </c>
      <c r="AL62" s="116">
        <f t="shared" si="12"/>
        <v>9.102564102564102</v>
      </c>
      <c r="AM62" s="116">
        <f t="shared" si="13"/>
        <v>45.95</v>
      </c>
      <c r="AN62" s="116">
        <f t="shared" si="14"/>
        <v>37.475</v>
      </c>
      <c r="AO62" s="116">
        <f t="shared" si="15"/>
        <v>194.2173913043478</v>
      </c>
      <c r="AP62" s="116">
        <f t="shared" si="16"/>
        <v>42.768750000000004</v>
      </c>
      <c r="AQ62" s="116">
        <f t="shared" si="17"/>
        <v>89.94285714285715</v>
      </c>
      <c r="AR62" s="95">
        <f t="shared" si="56"/>
        <v>0.37153522909717274</v>
      </c>
      <c r="AS62" s="116">
        <f t="shared" si="18"/>
        <v>4.838709677419355</v>
      </c>
      <c r="AT62" s="116"/>
      <c r="AU62" s="116">
        <f t="shared" si="20"/>
        <v>0.06349206349206349</v>
      </c>
      <c r="AV62" s="116">
        <f t="shared" si="21"/>
        <v>0.17172307692307692</v>
      </c>
      <c r="AW62" s="95">
        <f t="shared" si="24"/>
        <v>29.5</v>
      </c>
      <c r="AX62" s="95">
        <f t="shared" si="57"/>
        <v>21.390714285714285</v>
      </c>
      <c r="AY62" s="95"/>
      <c r="AZ62" s="95">
        <f t="shared" si="58"/>
        <v>8.109285714285715</v>
      </c>
      <c r="BA62" s="113"/>
      <c r="BB62" s="113"/>
      <c r="BC62" s="116">
        <f t="shared" si="59"/>
        <v>291.45924112119764</v>
      </c>
      <c r="BD62" s="116">
        <f t="shared" si="60"/>
        <v>136.10660714285717</v>
      </c>
      <c r="BE62" s="120">
        <f t="shared" si="61"/>
        <v>36.33420082756429</v>
      </c>
      <c r="BF62" s="117">
        <f>(('[1]setup'!$B$13*'[1]setup'!$B$14*'[1]setup'!$B$15)/10^(-R62))*10^6</f>
        <v>31.914923192160852</v>
      </c>
      <c r="BG62" s="118">
        <f t="shared" si="62"/>
        <v>13.106216812759504</v>
      </c>
      <c r="BH62" s="117">
        <f t="shared" si="63"/>
        <v>155.35263397834046</v>
      </c>
      <c r="BI62" s="117">
        <f t="shared" si="64"/>
        <v>291.8307763502948</v>
      </c>
      <c r="BJ62" s="117">
        <f t="shared" si="65"/>
        <v>181.1277471477775</v>
      </c>
      <c r="BK62" s="119">
        <f t="shared" si="66"/>
        <v>23.40649839308129</v>
      </c>
      <c r="BL62" s="113"/>
      <c r="BM62" s="116">
        <f>(3*('[1]setup'!$D$19*(10^-R62)^3)+2*('[1]setup'!$D$20*'[1]setup'!$D$19*((10^-R62)^2))+('[1]setup'!$D$21*'[1]setup'!$D$19*10^-R62)+('[1]setup'!$D$19*'[1]setup'!$D$22*(AP62/(10^6*2))*(10^-R62)^3))*10^6</f>
        <v>0.0004304473678873866</v>
      </c>
      <c r="BN62" s="95">
        <f t="shared" si="55"/>
        <v>123.80967646264466</v>
      </c>
      <c r="BO62" s="117">
        <f>(BN62/((('[1]setup'!$C$26)/10^-R62)+2*(('[1]setup'!$C$26*'[1]setup'!$C$27)/(10^-R62^2))+3*(('[1]setup'!$C$26*'[1]setup'!$C$27*'[1]setup'!$C$28)/(10^-R62^3))))/(10^-R62^3/(10^-R62^3+'[1]setup'!$C$26*10^-R62^2+'[1]setup'!$C$26*'[1]setup'!$C$27*10^-R62+'[1]setup'!$C$26*'[1]setup'!$C$27*'[1]setup'!$C$28))</f>
        <v>50.053085962092496</v>
      </c>
      <c r="BP62" s="113"/>
      <c r="BQ62" s="111">
        <f t="shared" si="0"/>
        <v>291.45924112119764</v>
      </c>
      <c r="BR62" s="111">
        <f t="shared" si="1"/>
        <v>136.10660714285717</v>
      </c>
      <c r="BS62" s="111">
        <f t="shared" si="2"/>
        <v>2.1414040599460593</v>
      </c>
      <c r="BT62" s="111">
        <f t="shared" si="3"/>
        <v>150.63834826405474</v>
      </c>
      <c r="BU62" s="111">
        <f t="shared" si="4"/>
        <v>2.159342025302469</v>
      </c>
    </row>
    <row r="63" spans="1:73" ht="12.75">
      <c r="A63" s="58">
        <v>39721</v>
      </c>
      <c r="B63" s="2" t="s">
        <v>37</v>
      </c>
      <c r="C63" s="60">
        <v>948940</v>
      </c>
      <c r="D63" s="60"/>
      <c r="E63" s="61">
        <v>0.02924</v>
      </c>
      <c r="F63" s="61">
        <v>0.002</v>
      </c>
      <c r="G63" s="61">
        <v>0.02</v>
      </c>
      <c r="H63" s="61">
        <v>2.123</v>
      </c>
      <c r="I63" s="61">
        <v>0.026</v>
      </c>
      <c r="J63" s="68">
        <v>0.08375</v>
      </c>
      <c r="K63" s="101">
        <v>0.005</v>
      </c>
      <c r="L63" s="61">
        <v>0.2033</v>
      </c>
      <c r="M63" s="61">
        <v>0.968</v>
      </c>
      <c r="N63" s="61">
        <v>0.4837</v>
      </c>
      <c r="O63" s="61">
        <v>3.884</v>
      </c>
      <c r="P63" s="68">
        <v>0.7058</v>
      </c>
      <c r="Q63" s="68">
        <v>2.934</v>
      </c>
      <c r="R63" s="61">
        <v>6.09</v>
      </c>
      <c r="S63" s="61">
        <v>12.6</v>
      </c>
      <c r="T63" s="61">
        <v>20.892</v>
      </c>
      <c r="U63" s="61">
        <v>0.05</v>
      </c>
      <c r="V63" s="62"/>
      <c r="W63" s="61">
        <v>0.002</v>
      </c>
      <c r="X63" s="101">
        <v>0.002</v>
      </c>
      <c r="Y63" s="61">
        <v>0.5911</v>
      </c>
      <c r="Z63" s="61">
        <v>0.1353</v>
      </c>
      <c r="AA63" s="62">
        <v>0.025550000000000003</v>
      </c>
      <c r="AB63" s="61"/>
      <c r="AC63" s="61"/>
      <c r="AD63" s="35"/>
      <c r="AE63" s="116">
        <f t="shared" si="5"/>
        <v>1.0442857142857143</v>
      </c>
      <c r="AF63" s="116">
        <f t="shared" si="6"/>
        <v>0.07272727272727272</v>
      </c>
      <c r="AG63" s="116">
        <f t="shared" si="7"/>
        <v>2.2222222222222223</v>
      </c>
      <c r="AH63" s="116">
        <f t="shared" si="8"/>
        <v>303.28571428571433</v>
      </c>
      <c r="AI63" s="116">
        <f t="shared" si="9"/>
        <v>1.8571428571428572</v>
      </c>
      <c r="AJ63" s="116">
        <f t="shared" si="10"/>
        <v>5.982142857142858</v>
      </c>
      <c r="AK63" s="116">
        <f t="shared" si="11"/>
        <v>0.4838709677419355</v>
      </c>
      <c r="AL63" s="116">
        <f t="shared" si="12"/>
        <v>5.212820512820514</v>
      </c>
      <c r="AM63" s="116">
        <f t="shared" si="13"/>
        <v>48.4</v>
      </c>
      <c r="AN63" s="116">
        <f t="shared" si="14"/>
        <v>40.30833333333334</v>
      </c>
      <c r="AO63" s="116">
        <f t="shared" si="15"/>
        <v>168.8695652173913</v>
      </c>
      <c r="AP63" s="116">
        <f t="shared" si="16"/>
        <v>44.1125</v>
      </c>
      <c r="AQ63" s="116">
        <f t="shared" si="17"/>
        <v>83.82857142857144</v>
      </c>
      <c r="AR63" s="95">
        <f t="shared" si="56"/>
        <v>0.8128305161640995</v>
      </c>
      <c r="AS63" s="116">
        <f t="shared" si="18"/>
        <v>4.838709677419355</v>
      </c>
      <c r="AT63" s="116"/>
      <c r="AU63" s="116">
        <f t="shared" si="20"/>
        <v>0.06349206349206349</v>
      </c>
      <c r="AV63" s="116">
        <f t="shared" si="21"/>
        <v>0.061538461538461535</v>
      </c>
      <c r="AW63" s="95">
        <f t="shared" si="24"/>
        <v>9.664285714285715</v>
      </c>
      <c r="AX63" s="95">
        <f t="shared" si="57"/>
        <v>1.8249999999999993</v>
      </c>
      <c r="AY63" s="95"/>
      <c r="AZ63" s="95">
        <f t="shared" si="58"/>
        <v>7.839285714285715</v>
      </c>
      <c r="BA63" s="113"/>
      <c r="BB63" s="113"/>
      <c r="BC63" s="116">
        <f t="shared" si="59"/>
        <v>264.647861920688</v>
      </c>
      <c r="BD63" s="116">
        <f t="shared" si="60"/>
        <v>133.9232142857143</v>
      </c>
      <c r="BE63" s="120">
        <f t="shared" si="61"/>
        <v>32.79832768579454</v>
      </c>
      <c r="BF63" s="117">
        <f>(('[1]setup'!$B$13*'[1]setup'!$B$14*'[1]setup'!$B$15)/10^(-R63))*10^6</f>
        <v>14.587934463602588</v>
      </c>
      <c r="BG63" s="118">
        <f t="shared" si="62"/>
        <v>5.471770057446877</v>
      </c>
      <c r="BH63" s="117">
        <f t="shared" si="63"/>
        <v>130.72464763497365</v>
      </c>
      <c r="BI63" s="117">
        <f t="shared" si="64"/>
        <v>265.46069243685207</v>
      </c>
      <c r="BJ63" s="117">
        <f t="shared" si="65"/>
        <v>153.98291880676376</v>
      </c>
      <c r="BK63" s="119">
        <f t="shared" si="66"/>
        <v>26.57753524950967</v>
      </c>
      <c r="BL63" s="113"/>
      <c r="BM63" s="116">
        <f>(3*('[1]setup'!$D$19*(10^-R63)^3)+2*('[1]setup'!$D$20*'[1]setup'!$D$19*((10^-R63)^2))+('[1]setup'!$D$21*'[1]setup'!$D$19*10^-R63)+('[1]setup'!$D$19*'[1]setup'!$D$22*(AP63/(10^6*2))*(10^-R63)^3))*10^6</f>
        <v>0.00130136537863185</v>
      </c>
      <c r="BN63" s="95">
        <f t="shared" si="55"/>
        <v>116.95084505291385</v>
      </c>
      <c r="BO63" s="117">
        <f>(BN63/((('[1]setup'!$C$26)/10^-R63)+2*(('[1]setup'!$C$26*'[1]setup'!$C$27)/(10^-R63^2))+3*(('[1]setup'!$C$26*'[1]setup'!$C$27*'[1]setup'!$C$28)/(10^-R63^3))))/(10^-R63^3/(10^-R63^3+'[1]setup'!$C$26*10^-R63^2+'[1]setup'!$C$26*'[1]setup'!$C$27*10^-R63+'[1]setup'!$C$26*'[1]setup'!$C$27*'[1]setup'!$C$28))</f>
        <v>51.39637722337057</v>
      </c>
      <c r="BP63" s="113"/>
      <c r="BQ63" s="111">
        <f t="shared" si="0"/>
        <v>264.647861920688</v>
      </c>
      <c r="BR63" s="111">
        <f t="shared" si="1"/>
        <v>133.9232142857143</v>
      </c>
      <c r="BS63" s="111">
        <f t="shared" si="2"/>
        <v>1.97611641366435</v>
      </c>
      <c r="BT63" s="111">
        <f t="shared" si="3"/>
        <v>128.86750477783087</v>
      </c>
      <c r="BU63" s="111">
        <f t="shared" si="4"/>
        <v>2.0144631160902167</v>
      </c>
    </row>
    <row r="64" spans="1:73" ht="12.75">
      <c r="A64" s="58">
        <v>39735</v>
      </c>
      <c r="B64" s="2" t="s">
        <v>37</v>
      </c>
      <c r="C64" s="60">
        <v>950245</v>
      </c>
      <c r="D64" s="60"/>
      <c r="E64" s="61">
        <v>0.006</v>
      </c>
      <c r="F64" s="61">
        <v>0.002</v>
      </c>
      <c r="G64" s="61">
        <v>0.02</v>
      </c>
      <c r="H64" s="61">
        <v>2.638</v>
      </c>
      <c r="I64" s="62">
        <v>0.01</v>
      </c>
      <c r="J64" s="68">
        <v>0.06146</v>
      </c>
      <c r="K64" s="101">
        <v>0.005</v>
      </c>
      <c r="L64" s="61">
        <v>0.2158</v>
      </c>
      <c r="M64" s="61">
        <v>0.4644</v>
      </c>
      <c r="N64" s="61">
        <v>0.2974</v>
      </c>
      <c r="O64" s="61">
        <v>2.56</v>
      </c>
      <c r="P64" s="68">
        <v>0.7558</v>
      </c>
      <c r="Q64" s="68">
        <v>3.973</v>
      </c>
      <c r="R64" s="61">
        <v>6.02</v>
      </c>
      <c r="S64" s="61">
        <v>16.8</v>
      </c>
      <c r="T64" s="61">
        <v>21.258</v>
      </c>
      <c r="U64" s="61">
        <v>0.05</v>
      </c>
      <c r="V64" s="61"/>
      <c r="W64" s="61">
        <v>0.002</v>
      </c>
      <c r="X64" s="101">
        <v>0.002</v>
      </c>
      <c r="Y64" s="61">
        <v>1.051</v>
      </c>
      <c r="Z64" s="61">
        <v>0.1019</v>
      </c>
      <c r="AA64" s="62">
        <v>0.03044000000000001</v>
      </c>
      <c r="AB64" s="61"/>
      <c r="AC64" s="61"/>
      <c r="AD64" s="35"/>
      <c r="AE64" s="116">
        <f t="shared" si="5"/>
        <v>0.2142857142857143</v>
      </c>
      <c r="AF64" s="116">
        <f t="shared" si="6"/>
        <v>0.07272727272727272</v>
      </c>
      <c r="AG64" s="116">
        <f t="shared" si="7"/>
        <v>2.2222222222222223</v>
      </c>
      <c r="AH64" s="116">
        <f t="shared" si="8"/>
        <v>376.85714285714283</v>
      </c>
      <c r="AI64" s="116">
        <f t="shared" si="9"/>
        <v>0.7142857142857143</v>
      </c>
      <c r="AJ64" s="116">
        <f t="shared" si="10"/>
        <v>4.39</v>
      </c>
      <c r="AK64" s="116">
        <f t="shared" si="11"/>
        <v>0.4838709677419355</v>
      </c>
      <c r="AL64" s="116">
        <f t="shared" si="12"/>
        <v>5.533333333333333</v>
      </c>
      <c r="AM64" s="116">
        <f t="shared" si="13"/>
        <v>23.22</v>
      </c>
      <c r="AN64" s="116">
        <f t="shared" si="14"/>
        <v>24.783333333333335</v>
      </c>
      <c r="AO64" s="116">
        <f t="shared" si="15"/>
        <v>111.30434782608697</v>
      </c>
      <c r="AP64" s="116">
        <f t="shared" si="16"/>
        <v>47.237500000000004</v>
      </c>
      <c r="AQ64" s="116">
        <f t="shared" si="17"/>
        <v>113.5142857142857</v>
      </c>
      <c r="AR64" s="95">
        <f t="shared" si="56"/>
        <v>0.9549925860214369</v>
      </c>
      <c r="AS64" s="116">
        <f t="shared" si="18"/>
        <v>4.838709677419355</v>
      </c>
      <c r="AT64" s="116"/>
      <c r="AU64" s="116">
        <f t="shared" si="20"/>
        <v>0.06349206349206349</v>
      </c>
      <c r="AV64" s="116">
        <f t="shared" si="21"/>
        <v>0.061538461538461535</v>
      </c>
      <c r="AW64" s="95">
        <f t="shared" si="24"/>
        <v>7.2785714285714285</v>
      </c>
      <c r="AX64" s="95">
        <f t="shared" si="57"/>
        <v>2.1742857142857144</v>
      </c>
      <c r="AY64" s="95"/>
      <c r="AZ64" s="95">
        <f t="shared" si="58"/>
        <v>5.104285714285714</v>
      </c>
      <c r="BA64" s="113"/>
      <c r="BB64" s="113"/>
      <c r="BC64" s="116">
        <f t="shared" si="59"/>
        <v>165.55530020703935</v>
      </c>
      <c r="BD64" s="116">
        <f t="shared" si="60"/>
        <v>165.1417857142857</v>
      </c>
      <c r="BE64" s="120">
        <f t="shared" si="61"/>
        <v>0.12504328291904768</v>
      </c>
      <c r="BF64" s="117">
        <f>(('[1]setup'!$B$13*'[1]setup'!$B$14*'[1]setup'!$B$15)/10^(-R64))*10^6</f>
        <v>12.416345920775552</v>
      </c>
      <c r="BG64" s="118">
        <f t="shared" si="62"/>
        <v>9.65967146019236</v>
      </c>
      <c r="BH64" s="117">
        <f t="shared" si="63"/>
        <v>0.4135144927536487</v>
      </c>
      <c r="BI64" s="117">
        <f t="shared" si="64"/>
        <v>166.51029279306078</v>
      </c>
      <c r="BJ64" s="117">
        <f t="shared" si="65"/>
        <v>187.2178030952536</v>
      </c>
      <c r="BK64" s="119">
        <f t="shared" si="66"/>
        <v>5.8540756425327825</v>
      </c>
      <c r="BL64" s="113"/>
      <c r="BM64" s="116">
        <f>(3*('[1]setup'!$D$19*(10^-R64)^3)+2*('[1]setup'!$D$20*'[1]setup'!$D$19*((10^-R64)^2))+('[1]setup'!$D$21*'[1]setup'!$D$19*10^-R64)+('[1]setup'!$D$19*'[1]setup'!$D$22*(AP64/(10^6*2))*(10^-R64)^3))*10^6</f>
        <v>0.0016891141177954089</v>
      </c>
      <c r="BN64" s="95">
        <f t="shared" si="55"/>
        <v>-11.046149727882664</v>
      </c>
      <c r="BO64" s="117">
        <f>(BN64/((('[1]setup'!$C$26)/10^-R64)+2*(('[1]setup'!$C$26*'[1]setup'!$C$27)/(10^-R64^2))+3*(('[1]setup'!$C$26*'[1]setup'!$C$27*'[1]setup'!$C$28)/(10^-R64^3))))/(10^-R64^3/(10^-R64^3+'[1]setup'!$C$26*10^-R64^2+'[1]setup'!$C$26*'[1]setup'!$C$27*10^-R64+'[1]setup'!$C$26*'[1]setup'!$C$27*'[1]setup'!$C$28))</f>
        <v>-4.935193488363058</v>
      </c>
      <c r="BP64" s="113"/>
      <c r="BQ64" s="111">
        <f t="shared" si="0"/>
        <v>165.55530020703935</v>
      </c>
      <c r="BR64" s="111">
        <f t="shared" si="1"/>
        <v>165.1417857142857</v>
      </c>
      <c r="BS64" s="111">
        <f t="shared" si="2"/>
        <v>1.0025039967381064</v>
      </c>
      <c r="BT64" s="111">
        <f t="shared" si="3"/>
        <v>-0.3007712215320737</v>
      </c>
      <c r="BU64" s="111">
        <f t="shared" si="4"/>
        <v>0.980531631994222</v>
      </c>
    </row>
    <row r="65" spans="1:73" ht="12.75">
      <c r="A65" s="58">
        <v>39757</v>
      </c>
      <c r="B65" s="2" t="s">
        <v>37</v>
      </c>
      <c r="C65" s="60">
        <v>953154</v>
      </c>
      <c r="D65" s="60"/>
      <c r="E65" s="61">
        <v>0.006</v>
      </c>
      <c r="F65" s="61">
        <v>0.002</v>
      </c>
      <c r="G65" s="61">
        <v>0.02325</v>
      </c>
      <c r="H65" s="61">
        <v>2.6</v>
      </c>
      <c r="I65" s="61">
        <v>0.01</v>
      </c>
      <c r="J65" s="68">
        <v>0.06663</v>
      </c>
      <c r="K65" s="101">
        <v>0.005</v>
      </c>
      <c r="L65" s="61">
        <v>0.2292</v>
      </c>
      <c r="M65" s="61">
        <v>0.5879</v>
      </c>
      <c r="N65" s="61">
        <v>0.3575</v>
      </c>
      <c r="O65" s="61">
        <v>2.91</v>
      </c>
      <c r="P65" s="68">
        <v>0.6946</v>
      </c>
      <c r="Q65" s="68">
        <v>3.556</v>
      </c>
      <c r="R65" s="61">
        <v>6.556</v>
      </c>
      <c r="S65" s="61">
        <v>17</v>
      </c>
      <c r="T65" s="61">
        <v>22.29</v>
      </c>
      <c r="U65" s="61">
        <v>0.05</v>
      </c>
      <c r="V65" s="61"/>
      <c r="W65" s="61">
        <v>0.002</v>
      </c>
      <c r="X65" s="101">
        <v>0.002</v>
      </c>
      <c r="Y65" s="61">
        <v>1.15</v>
      </c>
      <c r="Z65" s="61">
        <v>0.1019</v>
      </c>
      <c r="AA65" s="62">
        <v>0.025270000000000015</v>
      </c>
      <c r="AB65" s="61"/>
      <c r="AC65" s="61"/>
      <c r="AD65" s="35"/>
      <c r="AE65" s="116">
        <f t="shared" si="5"/>
        <v>0.2142857142857143</v>
      </c>
      <c r="AF65" s="116">
        <f t="shared" si="6"/>
        <v>0.07272727272727272</v>
      </c>
      <c r="AG65" s="116">
        <f t="shared" si="7"/>
        <v>2.5833333333333335</v>
      </c>
      <c r="AH65" s="116">
        <f t="shared" si="8"/>
        <v>371.42857142857144</v>
      </c>
      <c r="AI65" s="116">
        <f t="shared" si="9"/>
        <v>0.7142857142857143</v>
      </c>
      <c r="AJ65" s="116">
        <f t="shared" si="10"/>
        <v>4.759285714285714</v>
      </c>
      <c r="AK65" s="116">
        <f t="shared" si="11"/>
        <v>0.4838709677419355</v>
      </c>
      <c r="AL65" s="116">
        <f t="shared" si="12"/>
        <v>5.8769230769230765</v>
      </c>
      <c r="AM65" s="116">
        <f t="shared" si="13"/>
        <v>29.394999999999996</v>
      </c>
      <c r="AN65" s="116">
        <f t="shared" si="14"/>
        <v>29.791666666666664</v>
      </c>
      <c r="AO65" s="116">
        <f t="shared" si="15"/>
        <v>126.5217391304348</v>
      </c>
      <c r="AP65" s="116">
        <f t="shared" si="16"/>
        <v>43.4125</v>
      </c>
      <c r="AQ65" s="116">
        <f t="shared" si="17"/>
        <v>101.6</v>
      </c>
      <c r="AR65" s="95">
        <f t="shared" si="56"/>
        <v>0.2779713267759288</v>
      </c>
      <c r="AS65" s="116">
        <f t="shared" si="18"/>
        <v>4.838709677419355</v>
      </c>
      <c r="AT65" s="116"/>
      <c r="AU65" s="116">
        <f t="shared" si="20"/>
        <v>0.06349206349206349</v>
      </c>
      <c r="AV65" s="116">
        <f t="shared" si="21"/>
        <v>0.061538461538461535</v>
      </c>
      <c r="AW65" s="95">
        <f t="shared" si="24"/>
        <v>7.2785714285714285</v>
      </c>
      <c r="AX65" s="95">
        <f t="shared" si="57"/>
        <v>1.8049999999999997</v>
      </c>
      <c r="AY65" s="95"/>
      <c r="AZ65" s="95">
        <f t="shared" si="58"/>
        <v>5.473571428571429</v>
      </c>
      <c r="BA65" s="113"/>
      <c r="BB65" s="113"/>
      <c r="BC65" s="116">
        <f t="shared" si="59"/>
        <v>192.29961458831025</v>
      </c>
      <c r="BD65" s="116">
        <f t="shared" si="60"/>
        <v>149.77178571428573</v>
      </c>
      <c r="BE65" s="120">
        <f t="shared" si="61"/>
        <v>12.432442126528102</v>
      </c>
      <c r="BF65" s="117">
        <f>(('[1]setup'!$B$13*'[1]setup'!$B$14*'[1]setup'!$B$15)/10^(-R65))*10^6</f>
        <v>42.65734324956632</v>
      </c>
      <c r="BG65" s="118">
        <f t="shared" si="62"/>
        <v>11.031437213743414</v>
      </c>
      <c r="BH65" s="117">
        <f t="shared" si="63"/>
        <v>42.52782887402455</v>
      </c>
      <c r="BI65" s="117">
        <f t="shared" si="64"/>
        <v>192.5775859150862</v>
      </c>
      <c r="BJ65" s="117">
        <f t="shared" si="65"/>
        <v>203.4605661775954</v>
      </c>
      <c r="BK65" s="119">
        <f t="shared" si="66"/>
        <v>2.7479625902209457</v>
      </c>
      <c r="BL65" s="113"/>
      <c r="BM65" s="116">
        <f>(3*('[1]setup'!$D$19*(10^-R65)^3)+2*('[1]setup'!$D$20*'[1]setup'!$D$19*((10^-R65)^2))+('[1]setup'!$D$21*'[1]setup'!$D$19*10^-R65)+('[1]setup'!$D$19*'[1]setup'!$D$22*(AP65/(10^6*2))*(10^-R65)^3))*10^6</f>
        <v>0.0003001712208022143</v>
      </c>
      <c r="BN65" s="95">
        <f t="shared" si="55"/>
        <v>0.14875712245498107</v>
      </c>
      <c r="BO65" s="117">
        <f>(BN65/((('[1]setup'!$C$26)/10^-R65)+2*(('[1]setup'!$C$26*'[1]setup'!$C$27)/(10^-R65^2))+3*(('[1]setup'!$C$26*'[1]setup'!$C$27*'[1]setup'!$C$28)/(10^-R65^3))))/(10^-R65^3/(10^-R65^3+'[1]setup'!$C$26*10^-R65^2+'[1]setup'!$C$26*'[1]setup'!$C$27*10^-R65+'[1]setup'!$C$26*'[1]setup'!$C$27*'[1]setup'!$C$28))</f>
        <v>0.05836276931209225</v>
      </c>
      <c r="BP65" s="113"/>
      <c r="BQ65" s="111">
        <f t="shared" si="0"/>
        <v>192.29961458831025</v>
      </c>
      <c r="BR65" s="111">
        <f t="shared" si="1"/>
        <v>149.77178571428573</v>
      </c>
      <c r="BS65" s="111">
        <f t="shared" si="2"/>
        <v>1.2839508701268565</v>
      </c>
      <c r="BT65" s="111">
        <f t="shared" si="3"/>
        <v>41.8135431597388</v>
      </c>
      <c r="BU65" s="111">
        <f t="shared" si="4"/>
        <v>1.2452927079767204</v>
      </c>
    </row>
    <row r="66" spans="1:73" ht="12.75">
      <c r="A66" s="58">
        <v>39840</v>
      </c>
      <c r="B66" s="2" t="s">
        <v>37</v>
      </c>
      <c r="C66" s="60">
        <v>964400</v>
      </c>
      <c r="D66" s="58"/>
      <c r="E66" s="61">
        <v>0.006</v>
      </c>
      <c r="F66" s="61">
        <v>0.002</v>
      </c>
      <c r="G66" s="61">
        <v>0.02</v>
      </c>
      <c r="H66" s="61">
        <v>3.615</v>
      </c>
      <c r="I66" s="61">
        <v>0.013</v>
      </c>
      <c r="J66" s="68">
        <v>0.04059</v>
      </c>
      <c r="K66" s="101">
        <v>0.005</v>
      </c>
      <c r="L66" s="61">
        <v>0.2057</v>
      </c>
      <c r="M66" s="61">
        <v>0.6025</v>
      </c>
      <c r="N66" s="61">
        <v>0.3618</v>
      </c>
      <c r="O66" s="61">
        <v>3.16</v>
      </c>
      <c r="P66" s="68">
        <v>0.7079</v>
      </c>
      <c r="Q66" s="68">
        <v>2.769</v>
      </c>
      <c r="R66" s="61">
        <v>6.253</v>
      </c>
      <c r="S66" s="61">
        <v>18.3</v>
      </c>
      <c r="T66" s="61">
        <v>23.45</v>
      </c>
      <c r="U66" s="61">
        <v>0.05</v>
      </c>
      <c r="V66" s="61"/>
      <c r="W66" s="61">
        <v>0.002</v>
      </c>
      <c r="X66" s="101">
        <v>0.002</v>
      </c>
      <c r="Y66" s="61">
        <v>0.5</v>
      </c>
      <c r="Z66" s="61">
        <v>0.01</v>
      </c>
      <c r="AA66" s="62">
        <v>-0.04359</v>
      </c>
      <c r="AB66" s="61"/>
      <c r="AC66" s="61"/>
      <c r="AD66" s="35"/>
      <c r="AE66" s="116">
        <f t="shared" si="5"/>
        <v>0.2142857142857143</v>
      </c>
      <c r="AF66" s="116">
        <f t="shared" si="6"/>
        <v>0.07272727272727272</v>
      </c>
      <c r="AG66" s="116">
        <f t="shared" si="7"/>
        <v>2.2222222222222223</v>
      </c>
      <c r="AH66" s="116">
        <f t="shared" si="8"/>
        <v>516.4285714285714</v>
      </c>
      <c r="AI66" s="116">
        <f t="shared" si="9"/>
        <v>0.9285714285714286</v>
      </c>
      <c r="AJ66" s="116">
        <f t="shared" si="10"/>
        <v>2.8992857142857145</v>
      </c>
      <c r="AK66" s="116">
        <f t="shared" si="11"/>
        <v>0.4838709677419355</v>
      </c>
      <c r="AL66" s="116">
        <f t="shared" si="12"/>
        <v>5.274358974358974</v>
      </c>
      <c r="AM66" s="116">
        <f t="shared" si="13"/>
        <v>30.125000000000004</v>
      </c>
      <c r="AN66" s="116">
        <f t="shared" si="14"/>
        <v>30.15</v>
      </c>
      <c r="AO66" s="116">
        <f t="shared" si="15"/>
        <v>137.3913043478261</v>
      </c>
      <c r="AP66" s="116">
        <f t="shared" si="16"/>
        <v>44.24375</v>
      </c>
      <c r="AQ66" s="116">
        <f t="shared" si="17"/>
        <v>79.11428571428571</v>
      </c>
      <c r="AR66" s="95">
        <f t="shared" si="56"/>
        <v>0.5584701947368307</v>
      </c>
      <c r="AS66" s="116">
        <f t="shared" si="18"/>
        <v>4.838709677419355</v>
      </c>
      <c r="AT66" s="116"/>
      <c r="AU66" s="116">
        <f t="shared" si="20"/>
        <v>0.06349206349206349</v>
      </c>
      <c r="AV66" s="116">
        <f t="shared" si="21"/>
        <v>0.061538461538461535</v>
      </c>
      <c r="AW66" s="95">
        <f t="shared" si="24"/>
        <v>0.7142857142857143</v>
      </c>
      <c r="AX66" s="95">
        <f t="shared" si="57"/>
        <v>-3.1135714285714284</v>
      </c>
      <c r="AY66" s="95"/>
      <c r="AZ66" s="95">
        <f t="shared" si="58"/>
        <v>3.827857142857143</v>
      </c>
      <c r="BA66" s="113"/>
      <c r="BB66" s="113"/>
      <c r="BC66" s="116">
        <f t="shared" si="59"/>
        <v>203.86923475075648</v>
      </c>
      <c r="BD66" s="116">
        <f t="shared" si="60"/>
        <v>126.25732142857143</v>
      </c>
      <c r="BE66" s="120">
        <f t="shared" si="61"/>
        <v>23.50974554135097</v>
      </c>
      <c r="BF66" s="117">
        <f>(('[1]setup'!$B$13*'[1]setup'!$B$14*'[1]setup'!$B$15)/10^(-R66))*10^6</f>
        <v>21.23214168198501</v>
      </c>
      <c r="BG66" s="118">
        <f t="shared" si="62"/>
        <v>4.6968835920556895</v>
      </c>
      <c r="BH66" s="117">
        <f t="shared" si="63"/>
        <v>77.61191332218506</v>
      </c>
      <c r="BI66" s="117">
        <f t="shared" si="64"/>
        <v>204.4277049454933</v>
      </c>
      <c r="BJ66" s="117">
        <f t="shared" si="65"/>
        <v>152.18634670261213</v>
      </c>
      <c r="BK66" s="119">
        <f t="shared" si="66"/>
        <v>14.64927082975159</v>
      </c>
      <c r="BL66" s="113"/>
      <c r="BM66" s="116">
        <f>(3*('[1]setup'!$D$19*(10^-R66)^3)+2*('[1]setup'!$D$20*'[1]setup'!$D$19*((10^-R66)^2))+('[1]setup'!$D$21*'[1]setup'!$D$19*10^-R66)+('[1]setup'!$D$19*'[1]setup'!$D$22*(AP66/(10^6*2))*(10^-R66)^3))*10^6</f>
        <v>0.0007436862522749161</v>
      </c>
      <c r="BN66" s="95">
        <f t="shared" si="55"/>
        <v>56.93898552118915</v>
      </c>
      <c r="BO66" s="117">
        <f>(BN66/((('[1]setup'!$C$26)/10^-R66)+2*(('[1]setup'!$C$26*'[1]setup'!$C$27)/(10^-R66^2))+3*(('[1]setup'!$C$26*'[1]setup'!$C$27*'[1]setup'!$C$28)/(10^-R66^3))))/(10^-R66^3/(10^-R66^3+'[1]setup'!$C$26*10^-R66^2+'[1]setup'!$C$26*'[1]setup'!$C$27*10^-R66+'[1]setup'!$C$26*'[1]setup'!$C$27*'[1]setup'!$C$28))</f>
        <v>24.04740483267694</v>
      </c>
      <c r="BP66" s="113"/>
      <c r="BQ66" s="111">
        <f t="shared" si="0"/>
        <v>203.8692347507565</v>
      </c>
      <c r="BR66" s="111">
        <f t="shared" si="1"/>
        <v>126.25732142857143</v>
      </c>
      <c r="BS66" s="111">
        <f t="shared" si="2"/>
        <v>1.614712180204877</v>
      </c>
      <c r="BT66" s="111">
        <f t="shared" si="3"/>
        <v>76.68334189361363</v>
      </c>
      <c r="BU66" s="111">
        <f t="shared" si="4"/>
        <v>1.7366181481307017</v>
      </c>
    </row>
    <row r="67" spans="1:73" ht="12.75">
      <c r="A67" s="58">
        <v>39875</v>
      </c>
      <c r="B67" s="2" t="s">
        <v>37</v>
      </c>
      <c r="C67" s="60">
        <v>968385</v>
      </c>
      <c r="D67" s="58"/>
      <c r="E67" s="61">
        <v>0.006</v>
      </c>
      <c r="F67" s="61">
        <v>0.002</v>
      </c>
      <c r="G67" s="61">
        <v>0.02828</v>
      </c>
      <c r="H67" s="61">
        <v>2.455</v>
      </c>
      <c r="I67" s="61">
        <v>0.01</v>
      </c>
      <c r="J67" s="68">
        <v>0.03584</v>
      </c>
      <c r="K67" s="101">
        <v>0.005</v>
      </c>
      <c r="L67" s="61">
        <v>0.2217</v>
      </c>
      <c r="M67" s="61">
        <v>0.5289</v>
      </c>
      <c r="N67" s="61">
        <v>0.3401</v>
      </c>
      <c r="O67" s="61">
        <v>2.906</v>
      </c>
      <c r="P67" s="68">
        <v>0.6099</v>
      </c>
      <c r="Q67" s="68">
        <v>2.804</v>
      </c>
      <c r="R67" s="61">
        <v>6.34</v>
      </c>
      <c r="S67" s="61">
        <v>19.4</v>
      </c>
      <c r="T67" s="61">
        <v>20.32</v>
      </c>
      <c r="U67" s="61">
        <v>0.05</v>
      </c>
      <c r="V67" s="61"/>
      <c r="W67" s="61">
        <v>0.002</v>
      </c>
      <c r="X67" s="101">
        <v>0.002</v>
      </c>
      <c r="Y67" s="61">
        <v>0.973</v>
      </c>
      <c r="Z67" s="61">
        <v>0.01</v>
      </c>
      <c r="AA67" s="62">
        <v>-0.03584</v>
      </c>
      <c r="AB67" s="61"/>
      <c r="AC67" s="61"/>
      <c r="AE67" s="116">
        <f t="shared" si="5"/>
        <v>0.2142857142857143</v>
      </c>
      <c r="AF67" s="116">
        <f t="shared" si="6"/>
        <v>0.07272727272727272</v>
      </c>
      <c r="AG67" s="116">
        <f t="shared" si="7"/>
        <v>3.1422222222222222</v>
      </c>
      <c r="AH67" s="116">
        <f t="shared" si="8"/>
        <v>350.7142857142857</v>
      </c>
      <c r="AI67" s="116">
        <f t="shared" si="9"/>
        <v>0.7142857142857143</v>
      </c>
      <c r="AJ67" s="116">
        <f t="shared" si="10"/>
        <v>2.5599999999999996</v>
      </c>
      <c r="AK67" s="116">
        <f t="shared" si="11"/>
        <v>0.4838709677419355</v>
      </c>
      <c r="AL67" s="116">
        <f t="shared" si="12"/>
        <v>5.684615384615385</v>
      </c>
      <c r="AM67" s="116">
        <f t="shared" si="13"/>
        <v>26.445000000000004</v>
      </c>
      <c r="AN67" s="116">
        <f t="shared" si="14"/>
        <v>28.34166666666667</v>
      </c>
      <c r="AO67" s="116">
        <f t="shared" si="15"/>
        <v>126.34782608695652</v>
      </c>
      <c r="AP67" s="116">
        <f t="shared" si="16"/>
        <v>38.11875</v>
      </c>
      <c r="AQ67" s="116">
        <f t="shared" si="17"/>
        <v>80.11428571428571</v>
      </c>
      <c r="AR67" s="95">
        <f t="shared" si="56"/>
        <v>0.45708818961487513</v>
      </c>
      <c r="AS67" s="116">
        <f t="shared" si="18"/>
        <v>4.838709677419355</v>
      </c>
      <c r="AT67" s="116"/>
      <c r="AU67" s="116">
        <f t="shared" si="20"/>
        <v>0.06349206349206349</v>
      </c>
      <c r="AV67" s="116">
        <f t="shared" si="21"/>
        <v>0.061538461538461535</v>
      </c>
      <c r="AW67" s="95">
        <f t="shared" si="24"/>
        <v>0.7142857142857143</v>
      </c>
      <c r="AX67" s="95">
        <f t="shared" si="57"/>
        <v>-2.5599999999999996</v>
      </c>
      <c r="AY67" s="95"/>
      <c r="AZ67" s="95">
        <f t="shared" si="58"/>
        <v>3.274285714285714</v>
      </c>
      <c r="BA67" s="113"/>
      <c r="BB67" s="113"/>
      <c r="BC67" s="116">
        <f t="shared" si="59"/>
        <v>187.53339385252428</v>
      </c>
      <c r="BD67" s="116">
        <f t="shared" si="60"/>
        <v>120.79303571428571</v>
      </c>
      <c r="BE67" s="120">
        <f t="shared" si="61"/>
        <v>21.646006225287564</v>
      </c>
      <c r="BF67" s="117">
        <f>(('[1]setup'!$B$13*'[1]setup'!$B$14*'[1]setup'!$B$15)/10^(-R67))*10^6</f>
        <v>25.941423491621713</v>
      </c>
      <c r="BG67" s="118">
        <f t="shared" si="62"/>
        <v>9.202436857853005</v>
      </c>
      <c r="BH67" s="117">
        <f t="shared" si="63"/>
        <v>66.7403581382386</v>
      </c>
      <c r="BI67" s="117">
        <f t="shared" si="64"/>
        <v>187.99048204213918</v>
      </c>
      <c r="BJ67" s="117">
        <f t="shared" si="65"/>
        <v>155.93689606376043</v>
      </c>
      <c r="BK67" s="119">
        <f t="shared" si="66"/>
        <v>9.319870420001585</v>
      </c>
      <c r="BL67" s="113"/>
      <c r="BM67" s="116">
        <f>(3*('[1]setup'!$D$19*(10^-R67)^3)+2*('[1]setup'!$D$20*'[1]setup'!$D$19*((10^-R67)^2))+('[1]setup'!$D$21*'[1]setup'!$D$19*10^-R67)+('[1]setup'!$D$19*'[1]setup'!$D$22*(AP67/(10^6*2))*(10^-R67)^3))*10^6</f>
        <v>0.0005645550267636663</v>
      </c>
      <c r="BN67" s="95">
        <f t="shared" si="55"/>
        <v>41.256587391258506</v>
      </c>
      <c r="BO67" s="117">
        <f>(BN67/((('[1]setup'!$C$26)/10^-R67)+2*(('[1]setup'!$C$26*'[1]setup'!$C$27)/(10^-R67^2))+3*(('[1]setup'!$C$26*'[1]setup'!$C$27*'[1]setup'!$C$28)/(10^-R67^3))))/(10^-R67^3/(10^-R67^3+'[1]setup'!$C$26*10^-R67^2+'[1]setup'!$C$26*'[1]setup'!$C$27*10^-R67+'[1]setup'!$C$26*'[1]setup'!$C$27*'[1]setup'!$C$28))</f>
        <v>17.05233396902173</v>
      </c>
      <c r="BP67" s="113"/>
      <c r="BQ67" s="111">
        <f t="shared" si="0"/>
        <v>187.53339385252428</v>
      </c>
      <c r="BR67" s="111">
        <f t="shared" si="1"/>
        <v>120.79303571428571</v>
      </c>
      <c r="BS67" s="111">
        <f t="shared" si="2"/>
        <v>1.5525182618648723</v>
      </c>
      <c r="BT67" s="111">
        <f t="shared" si="3"/>
        <v>66.02607242395285</v>
      </c>
      <c r="BU67" s="111">
        <f t="shared" si="4"/>
        <v>1.5770948334677168</v>
      </c>
    </row>
    <row r="68" spans="1:73" ht="12.75">
      <c r="A68" s="58">
        <v>39899</v>
      </c>
      <c r="B68" s="2" t="s">
        <v>37</v>
      </c>
      <c r="D68" s="58"/>
      <c r="E68" s="61"/>
      <c r="F68" s="61"/>
      <c r="G68" s="61"/>
      <c r="H68" s="61"/>
      <c r="I68" s="61"/>
      <c r="J68" s="61"/>
      <c r="K68" s="10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101"/>
      <c r="Y68" s="61"/>
      <c r="Z68" s="61"/>
      <c r="AA68" s="62"/>
      <c r="AB68" s="61"/>
      <c r="AC68" s="61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95"/>
      <c r="AS68" s="116"/>
      <c r="AT68" s="116"/>
      <c r="AU68" s="116"/>
      <c r="AV68" s="116"/>
      <c r="AW68" s="95"/>
      <c r="AX68" s="95"/>
      <c r="AY68" s="95"/>
      <c r="AZ68" s="95"/>
      <c r="BA68" s="113"/>
      <c r="BB68" s="113"/>
      <c r="BC68" s="116"/>
      <c r="BD68" s="116"/>
      <c r="BE68" s="120"/>
      <c r="BF68" s="117"/>
      <c r="BG68" s="118"/>
      <c r="BH68" s="117"/>
      <c r="BI68" s="117"/>
      <c r="BJ68" s="117"/>
      <c r="BK68" s="119"/>
      <c r="BL68" s="113"/>
      <c r="BM68" s="116"/>
      <c r="BN68" s="95"/>
      <c r="BO68" s="117"/>
      <c r="BP68" s="113"/>
      <c r="BQ68" s="111"/>
      <c r="BR68" s="111"/>
      <c r="BS68" s="111"/>
      <c r="BT68" s="111"/>
      <c r="BU68" s="111"/>
    </row>
    <row r="69" spans="1:73" ht="12.75">
      <c r="A69" s="64">
        <v>39910</v>
      </c>
      <c r="B69" s="2" t="s">
        <v>37</v>
      </c>
      <c r="C69" s="60">
        <v>971847</v>
      </c>
      <c r="D69" s="64"/>
      <c r="E69" s="61">
        <v>0.006</v>
      </c>
      <c r="F69" s="61">
        <v>0.002</v>
      </c>
      <c r="G69" s="61">
        <v>0.02</v>
      </c>
      <c r="H69" s="61">
        <v>2.383</v>
      </c>
      <c r="I69" s="62">
        <v>0.01</v>
      </c>
      <c r="J69" s="68">
        <v>0.0431</v>
      </c>
      <c r="K69" s="101">
        <v>0.005</v>
      </c>
      <c r="L69" s="61">
        <v>0.3057</v>
      </c>
      <c r="M69" s="61">
        <v>0.5527</v>
      </c>
      <c r="N69" s="61">
        <v>0.3526</v>
      </c>
      <c r="O69" s="61">
        <v>3.101</v>
      </c>
      <c r="P69" s="68">
        <v>0.5962</v>
      </c>
      <c r="Q69" s="68">
        <v>2.695</v>
      </c>
      <c r="R69" s="61">
        <v>6.253</v>
      </c>
      <c r="S69" s="61">
        <v>13.8</v>
      </c>
      <c r="T69" s="61">
        <v>20.5</v>
      </c>
      <c r="U69" s="61">
        <v>0.05</v>
      </c>
      <c r="V69" s="61"/>
      <c r="W69" s="61">
        <v>0.002</v>
      </c>
      <c r="X69" s="101">
        <v>0.002</v>
      </c>
      <c r="Y69" s="61">
        <v>0.9039</v>
      </c>
      <c r="Z69" s="61">
        <v>0.01</v>
      </c>
      <c r="AA69" s="62">
        <v>-0.0431</v>
      </c>
      <c r="AB69" s="61"/>
      <c r="AC69" s="61"/>
      <c r="AE69" s="116">
        <f t="shared" si="5"/>
        <v>0.2142857142857143</v>
      </c>
      <c r="AF69" s="116">
        <f t="shared" si="6"/>
        <v>0.07272727272727272</v>
      </c>
      <c r="AG69" s="116">
        <f t="shared" si="7"/>
        <v>2.2222222222222223</v>
      </c>
      <c r="AH69" s="116">
        <f t="shared" si="8"/>
        <v>340.4285714285714</v>
      </c>
      <c r="AI69" s="116">
        <f t="shared" si="9"/>
        <v>0.7142857142857143</v>
      </c>
      <c r="AJ69" s="116">
        <f t="shared" si="10"/>
        <v>3.0785714285714283</v>
      </c>
      <c r="AK69" s="116">
        <f t="shared" si="11"/>
        <v>0.4838709677419355</v>
      </c>
      <c r="AL69" s="116">
        <f t="shared" si="12"/>
        <v>7.838461538461539</v>
      </c>
      <c r="AM69" s="116">
        <f t="shared" si="13"/>
        <v>27.635</v>
      </c>
      <c r="AN69" s="116">
        <f t="shared" si="14"/>
        <v>29.383333333333333</v>
      </c>
      <c r="AO69" s="116">
        <f t="shared" si="15"/>
        <v>134.82608695652172</v>
      </c>
      <c r="AP69" s="116">
        <f t="shared" si="16"/>
        <v>37.262499999999996</v>
      </c>
      <c r="AQ69" s="116">
        <f t="shared" si="17"/>
        <v>77</v>
      </c>
      <c r="AR69" s="95">
        <f t="shared" si="56"/>
        <v>0.5584701947368307</v>
      </c>
      <c r="AS69" s="116">
        <f t="shared" si="18"/>
        <v>4.838709677419355</v>
      </c>
      <c r="AT69" s="116"/>
      <c r="AU69" s="116">
        <f t="shared" si="20"/>
        <v>0.06349206349206349</v>
      </c>
      <c r="AV69" s="116">
        <f t="shared" si="21"/>
        <v>0.061538461538461535</v>
      </c>
      <c r="AW69" s="95">
        <f t="shared" si="24"/>
        <v>0.7142857142857143</v>
      </c>
      <c r="AX69" s="95">
        <f t="shared" si="57"/>
        <v>-3.0785714285714283</v>
      </c>
      <c r="AY69" s="95"/>
      <c r="AZ69" s="95">
        <f t="shared" si="58"/>
        <v>3.7928571428571427</v>
      </c>
      <c r="BA69" s="113"/>
      <c r="BB69" s="113"/>
      <c r="BC69" s="116">
        <f t="shared" si="59"/>
        <v>200.39716754260232</v>
      </c>
      <c r="BD69" s="116">
        <f t="shared" si="60"/>
        <v>117.34107142857142</v>
      </c>
      <c r="BE69" s="120">
        <f t="shared" si="61"/>
        <v>26.13978612802912</v>
      </c>
      <c r="BF69" s="117">
        <f>(('[1]setup'!$B$13*'[1]setup'!$B$14*'[1]setup'!$B$15)/10^(-R69))*10^6</f>
        <v>21.23214168198501</v>
      </c>
      <c r="BG69" s="118">
        <f t="shared" si="62"/>
        <v>8.491026157718276</v>
      </c>
      <c r="BH69" s="117">
        <f t="shared" si="63"/>
        <v>83.05609611403091</v>
      </c>
      <c r="BI69" s="117">
        <f t="shared" si="64"/>
        <v>200.95563773733915</v>
      </c>
      <c r="BJ69" s="117">
        <f t="shared" si="65"/>
        <v>147.0642392682747</v>
      </c>
      <c r="BK69" s="119">
        <f t="shared" si="66"/>
        <v>15.485149564659823</v>
      </c>
      <c r="BL69" s="113"/>
      <c r="BM69" s="116">
        <f>(3*('[1]setup'!$D$19*(10^-R69)^3)+2*('[1]setup'!$D$20*'[1]setup'!$D$19*((10^-R69)^2))+('[1]setup'!$D$21*'[1]setup'!$D$19*10^-R69)+('[1]setup'!$D$19*'[1]setup'!$D$22*(AP69/(10^6*2))*(10^-R69)^3))*10^6</f>
        <v>0.0007436357489311148</v>
      </c>
      <c r="BN69" s="95">
        <f t="shared" si="55"/>
        <v>62.383168262531655</v>
      </c>
      <c r="BO69" s="117">
        <f>(BN69/((('[1]setup'!$C$26)/10^-R69)+2*(('[1]setup'!$C$26*'[1]setup'!$C$27)/(10^-R69^2))+3*(('[1]setup'!$C$26*'[1]setup'!$C$27*'[1]setup'!$C$28)/(10^-R69^3))))/(10^-R69^3/(10^-R69^3+'[1]setup'!$C$26*10^-R69^2+'[1]setup'!$C$26*'[1]setup'!$C$27*10^-R69+'[1]setup'!$C$26*'[1]setup'!$C$27*'[1]setup'!$C$28))</f>
        <v>26.34668124523993</v>
      </c>
      <c r="BP69" s="113"/>
      <c r="BQ69" s="111">
        <f t="shared" si="0"/>
        <v>200.39716754260232</v>
      </c>
      <c r="BR69" s="111">
        <f t="shared" si="1"/>
        <v>117.34107142857142</v>
      </c>
      <c r="BS69" s="111">
        <f t="shared" si="2"/>
        <v>1.7078177751648476</v>
      </c>
      <c r="BT69" s="111">
        <f t="shared" si="3"/>
        <v>82.34181039974517</v>
      </c>
      <c r="BU69" s="111">
        <f t="shared" si="4"/>
        <v>1.7509881422924898</v>
      </c>
    </row>
    <row r="70" spans="1:73" ht="12.75">
      <c r="A70" s="64">
        <v>39925</v>
      </c>
      <c r="B70" s="2" t="s">
        <v>37</v>
      </c>
      <c r="C70" s="60">
        <v>973763</v>
      </c>
      <c r="D70" s="64"/>
      <c r="E70" s="61">
        <v>0.006</v>
      </c>
      <c r="F70" s="61">
        <v>0.002</v>
      </c>
      <c r="G70" s="61">
        <v>0.02</v>
      </c>
      <c r="H70" s="61">
        <v>2.782</v>
      </c>
      <c r="I70" s="61">
        <v>0.01</v>
      </c>
      <c r="J70" s="68">
        <v>0.06686</v>
      </c>
      <c r="K70" s="101">
        <v>0.005</v>
      </c>
      <c r="L70" s="61">
        <v>0.3065</v>
      </c>
      <c r="M70" s="61">
        <v>0.6858</v>
      </c>
      <c r="N70" s="61">
        <v>0.4206</v>
      </c>
      <c r="O70" s="61">
        <v>3.389</v>
      </c>
      <c r="P70" s="68">
        <v>0.6344</v>
      </c>
      <c r="Q70" s="68">
        <v>2.562</v>
      </c>
      <c r="R70" s="61">
        <v>6.268</v>
      </c>
      <c r="S70" s="61">
        <v>20.7</v>
      </c>
      <c r="T70" s="61">
        <v>21.56</v>
      </c>
      <c r="U70" s="61">
        <v>0.05</v>
      </c>
      <c r="V70" s="61"/>
      <c r="W70" s="61">
        <v>0.002</v>
      </c>
      <c r="X70" s="101">
        <v>0.002</v>
      </c>
      <c r="Y70" s="61">
        <v>0.5</v>
      </c>
      <c r="Z70" s="61">
        <v>0.01</v>
      </c>
      <c r="AA70" s="62">
        <v>-0.06686</v>
      </c>
      <c r="AB70" s="61"/>
      <c r="AC70" s="61"/>
      <c r="AE70" s="116">
        <f t="shared" si="5"/>
        <v>0.2142857142857143</v>
      </c>
      <c r="AF70" s="116">
        <f t="shared" si="6"/>
        <v>0.07272727272727272</v>
      </c>
      <c r="AG70" s="116">
        <f t="shared" si="7"/>
        <v>2.2222222222222223</v>
      </c>
      <c r="AH70" s="116">
        <f t="shared" si="8"/>
        <v>397.4285714285714</v>
      </c>
      <c r="AI70" s="116">
        <f t="shared" si="9"/>
        <v>0.7142857142857143</v>
      </c>
      <c r="AJ70" s="116">
        <f t="shared" si="10"/>
        <v>4.775714285714286</v>
      </c>
      <c r="AK70" s="116">
        <f t="shared" si="11"/>
        <v>0.4838709677419355</v>
      </c>
      <c r="AL70" s="116">
        <f t="shared" si="12"/>
        <v>7.858974358974359</v>
      </c>
      <c r="AM70" s="116">
        <f t="shared" si="13"/>
        <v>34.29</v>
      </c>
      <c r="AN70" s="116">
        <f t="shared" si="14"/>
        <v>35.05</v>
      </c>
      <c r="AO70" s="116">
        <f t="shared" si="15"/>
        <v>147.3478260869565</v>
      </c>
      <c r="AP70" s="116">
        <f t="shared" si="16"/>
        <v>39.65</v>
      </c>
      <c r="AQ70" s="116">
        <f t="shared" si="17"/>
        <v>73.2</v>
      </c>
      <c r="AR70" s="95">
        <f t="shared" si="56"/>
        <v>0.5395106225151278</v>
      </c>
      <c r="AS70" s="116">
        <f t="shared" si="18"/>
        <v>4.838709677419355</v>
      </c>
      <c r="AT70" s="116"/>
      <c r="AU70" s="116">
        <f t="shared" si="20"/>
        <v>0.06349206349206349</v>
      </c>
      <c r="AV70" s="116">
        <f t="shared" si="21"/>
        <v>0.061538461538461535</v>
      </c>
      <c r="AW70" s="95">
        <f t="shared" si="24"/>
        <v>0.7142857142857143</v>
      </c>
      <c r="AX70" s="95">
        <f t="shared" si="57"/>
        <v>-4.775714285714286</v>
      </c>
      <c r="AY70" s="95"/>
      <c r="AZ70" s="95">
        <f t="shared" si="58"/>
        <v>5.49</v>
      </c>
      <c r="BA70" s="113"/>
      <c r="BB70" s="113"/>
      <c r="BC70" s="116">
        <f t="shared" si="59"/>
        <v>225.26108616021656</v>
      </c>
      <c r="BD70" s="116">
        <f t="shared" si="60"/>
        <v>117.62571428571428</v>
      </c>
      <c r="BE70" s="120">
        <f t="shared" si="61"/>
        <v>31.39093477337723</v>
      </c>
      <c r="BF70" s="117">
        <f>(('[1]setup'!$B$13*'[1]setup'!$B$14*'[1]setup'!$B$15)/10^(-R70))*10^6</f>
        <v>21.97828514393277</v>
      </c>
      <c r="BG70" s="118">
        <f t="shared" si="62"/>
        <v>4.702618072169941</v>
      </c>
      <c r="BH70" s="117">
        <f t="shared" si="63"/>
        <v>107.63537187450231</v>
      </c>
      <c r="BI70" s="117">
        <f t="shared" si="64"/>
        <v>225.80059678273173</v>
      </c>
      <c r="BJ70" s="117">
        <f t="shared" si="65"/>
        <v>144.306617501817</v>
      </c>
      <c r="BK70" s="119">
        <f t="shared" si="66"/>
        <v>22.019019391029733</v>
      </c>
      <c r="BL70" s="113"/>
      <c r="BM70" s="116">
        <f>(3*('[1]setup'!$D$19*(10^-R70)^3)+2*('[1]setup'!$D$20*'[1]setup'!$D$19*((10^-R70)^2))+('[1]setup'!$D$21*'[1]setup'!$D$19*10^-R70)+('[1]setup'!$D$19*'[1]setup'!$D$22*(AP70/(10^6*2))*(10^-R70)^3))*10^6</f>
        <v>0.000708419613375645</v>
      </c>
      <c r="BN70" s="95">
        <f t="shared" si="55"/>
        <v>86.19730577269806</v>
      </c>
      <c r="BO70" s="117">
        <f>(BN70/((('[1]setup'!$C$26)/10^-R70)+2*(('[1]setup'!$C$26*'[1]setup'!$C$27)/(10^-R70^2))+3*(('[1]setup'!$C$26*'[1]setup'!$C$27*'[1]setup'!$C$28)/(10^-R70^3))))/(10^-R70^3/(10^-R70^3+'[1]setup'!$C$26*10^-R70^2+'[1]setup'!$C$26*'[1]setup'!$C$27*10^-R70+'[1]setup'!$C$26*'[1]setup'!$C$27*'[1]setup'!$C$28))</f>
        <v>36.269223705740885</v>
      </c>
      <c r="BP70" s="113"/>
      <c r="BQ70" s="111">
        <f t="shared" si="0"/>
        <v>225.26108616021656</v>
      </c>
      <c r="BR70" s="111">
        <f t="shared" si="1"/>
        <v>117.62571428571428</v>
      </c>
      <c r="BS70" s="111">
        <f t="shared" si="2"/>
        <v>1.9150666801738152</v>
      </c>
      <c r="BT70" s="111">
        <f t="shared" si="3"/>
        <v>106.92108616021656</v>
      </c>
      <c r="BU70" s="111">
        <f t="shared" si="4"/>
        <v>2.012948443810881</v>
      </c>
    </row>
    <row r="71" spans="1:73" ht="12.75">
      <c r="A71" s="64">
        <v>39938</v>
      </c>
      <c r="B71" s="2" t="s">
        <v>37</v>
      </c>
      <c r="C71" s="60">
        <v>974347</v>
      </c>
      <c r="D71" s="64"/>
      <c r="E71" s="61">
        <v>0.006</v>
      </c>
      <c r="F71" s="61">
        <v>0.002</v>
      </c>
      <c r="G71" s="61">
        <v>0.02</v>
      </c>
      <c r="H71" s="61">
        <v>2.658</v>
      </c>
      <c r="I71" s="62">
        <v>0.02</v>
      </c>
      <c r="J71" s="68">
        <v>0.06021</v>
      </c>
      <c r="K71" s="48">
        <v>0.006</v>
      </c>
      <c r="L71" s="61">
        <v>0.3195</v>
      </c>
      <c r="M71" s="61">
        <v>0.6714</v>
      </c>
      <c r="N71" s="61">
        <v>0.4096</v>
      </c>
      <c r="O71" s="61">
        <v>3.711</v>
      </c>
      <c r="P71" s="68">
        <v>0.686</v>
      </c>
      <c r="Q71" s="68">
        <v>3.062</v>
      </c>
      <c r="R71" s="61">
        <v>6.494</v>
      </c>
      <c r="S71" s="61">
        <v>19</v>
      </c>
      <c r="T71" s="61">
        <v>23.17</v>
      </c>
      <c r="U71" s="61">
        <v>0.05</v>
      </c>
      <c r="V71" s="61"/>
      <c r="W71" s="61">
        <v>0.002</v>
      </c>
      <c r="X71" s="101">
        <v>0.002</v>
      </c>
      <c r="Y71" s="61">
        <v>0.7985</v>
      </c>
      <c r="Z71" s="61">
        <v>0.1794</v>
      </c>
      <c r="AA71" s="62">
        <v>0.09919</v>
      </c>
      <c r="AB71" s="61"/>
      <c r="AC71" s="61"/>
      <c r="AE71" s="116">
        <f t="shared" si="5"/>
        <v>0.2142857142857143</v>
      </c>
      <c r="AF71" s="116">
        <f t="shared" si="6"/>
        <v>0.07272727272727272</v>
      </c>
      <c r="AG71" s="116">
        <f t="shared" si="7"/>
        <v>2.2222222222222223</v>
      </c>
      <c r="AH71" s="116">
        <f t="shared" si="8"/>
        <v>379.7142857142857</v>
      </c>
      <c r="AI71" s="116">
        <f t="shared" si="9"/>
        <v>1.4285714285714286</v>
      </c>
      <c r="AJ71" s="116">
        <f t="shared" si="10"/>
        <v>4.300714285714285</v>
      </c>
      <c r="AK71" s="116">
        <f t="shared" si="11"/>
        <v>0.5806451612903225</v>
      </c>
      <c r="AL71" s="116">
        <f t="shared" si="12"/>
        <v>8.192307692307693</v>
      </c>
      <c r="AM71" s="116">
        <f t="shared" si="13"/>
        <v>33.57</v>
      </c>
      <c r="AN71" s="116">
        <f t="shared" si="14"/>
        <v>34.13333333333333</v>
      </c>
      <c r="AO71" s="116">
        <f t="shared" si="15"/>
        <v>161.34782608695653</v>
      </c>
      <c r="AP71" s="116">
        <f t="shared" si="16"/>
        <v>42.875</v>
      </c>
      <c r="AQ71" s="116">
        <f t="shared" si="17"/>
        <v>87.48571428571428</v>
      </c>
      <c r="AR71" s="95">
        <f t="shared" si="56"/>
        <v>0.32062693245054663</v>
      </c>
      <c r="AS71" s="116">
        <f t="shared" si="18"/>
        <v>4.838709677419355</v>
      </c>
      <c r="AT71" s="116"/>
      <c r="AU71" s="116">
        <f t="shared" si="20"/>
        <v>0.06349206349206349</v>
      </c>
      <c r="AV71" s="116">
        <f t="shared" si="21"/>
        <v>0.061538461538461535</v>
      </c>
      <c r="AW71" s="95">
        <f t="shared" si="24"/>
        <v>12.814285714285713</v>
      </c>
      <c r="AX71" s="95">
        <f t="shared" si="57"/>
        <v>7.084999999999999</v>
      </c>
      <c r="AY71" s="95"/>
      <c r="AZ71" s="95">
        <f t="shared" si="58"/>
        <v>5.729285714285714</v>
      </c>
      <c r="BA71" s="113"/>
      <c r="BB71" s="113"/>
      <c r="BC71" s="116">
        <f t="shared" si="59"/>
        <v>238.67203854116897</v>
      </c>
      <c r="BD71" s="116">
        <f t="shared" si="60"/>
        <v>134.66142857142856</v>
      </c>
      <c r="BE71" s="120">
        <f t="shared" si="61"/>
        <v>27.85997483005475</v>
      </c>
      <c r="BF71" s="117">
        <f>(('[1]setup'!$B$13*'[1]setup'!$B$14*'[1]setup'!$B$15)/10^(-R71))*10^6</f>
        <v>36.98229031850609</v>
      </c>
      <c r="BG71" s="118">
        <f t="shared" si="62"/>
        <v>7.631413572548081</v>
      </c>
      <c r="BH71" s="117">
        <f t="shared" si="63"/>
        <v>104.01060996974041</v>
      </c>
      <c r="BI71" s="117">
        <f t="shared" si="64"/>
        <v>238.99266547361952</v>
      </c>
      <c r="BJ71" s="117">
        <f t="shared" si="65"/>
        <v>179.2751324624827</v>
      </c>
      <c r="BK71" s="119">
        <f t="shared" si="66"/>
        <v>14.277344157452859</v>
      </c>
      <c r="BL71" s="113"/>
      <c r="BM71" s="116">
        <f>(3*('[1]setup'!$D$19*(10^-R71)^3)+2*('[1]setup'!$D$20*'[1]setup'!$D$19*((10^-R71)^2))+('[1]setup'!$D$21*'[1]setup'!$D$19*10^-R71)+('[1]setup'!$D$19*'[1]setup'!$D$22*(AP71/(10^6*2))*(10^-R71)^3))*10^6</f>
        <v>0.0003575269925082319</v>
      </c>
      <c r="BN71" s="95">
        <f t="shared" si="55"/>
        <v>67.3493041106774</v>
      </c>
      <c r="BO71" s="117">
        <f>(BN71/((('[1]setup'!$C$26)/10^-R71)+2*(('[1]setup'!$C$26*'[1]setup'!$C$27)/(10^-R71^2))+3*(('[1]setup'!$C$26*'[1]setup'!$C$27*'[1]setup'!$C$28)/(10^-R71^3))))/(10^-R71^3/(10^-R71^3+'[1]setup'!$C$26*10^-R71^2+'[1]setup'!$C$26*'[1]setup'!$C$27*10^-R71+'[1]setup'!$C$26*'[1]setup'!$C$27*'[1]setup'!$C$28))</f>
        <v>26.810808409007265</v>
      </c>
      <c r="BP71" s="113"/>
      <c r="BQ71" s="111">
        <f t="shared" si="0"/>
        <v>238.672038541169</v>
      </c>
      <c r="BR71" s="111">
        <f t="shared" si="1"/>
        <v>134.66142857142856</v>
      </c>
      <c r="BS71" s="111">
        <f t="shared" si="2"/>
        <v>1.7723860579317263</v>
      </c>
      <c r="BT71" s="111">
        <f t="shared" si="3"/>
        <v>102.582038541169</v>
      </c>
      <c r="BU71" s="111">
        <f t="shared" si="4"/>
        <v>1.8442762616079291</v>
      </c>
    </row>
    <row r="72" spans="1:73" ht="12.75">
      <c r="A72" s="58">
        <v>39952</v>
      </c>
      <c r="B72" s="2" t="s">
        <v>37</v>
      </c>
      <c r="C72" s="60">
        <v>975886</v>
      </c>
      <c r="E72" s="61">
        <v>0.006</v>
      </c>
      <c r="F72" s="61">
        <v>0.002</v>
      </c>
      <c r="G72" s="61">
        <v>0.02</v>
      </c>
      <c r="H72" s="61">
        <v>2.85</v>
      </c>
      <c r="I72" s="62">
        <v>0.01</v>
      </c>
      <c r="J72" s="68">
        <v>0.05926</v>
      </c>
      <c r="K72" s="48">
        <v>0.005</v>
      </c>
      <c r="L72" s="61">
        <v>0.1</v>
      </c>
      <c r="M72" s="61">
        <v>0.6918</v>
      </c>
      <c r="N72" s="61">
        <v>0.4163</v>
      </c>
      <c r="O72" s="61">
        <v>3.458</v>
      </c>
      <c r="P72" s="68">
        <v>0.6836</v>
      </c>
      <c r="Q72" s="68">
        <v>2.877</v>
      </c>
      <c r="R72" s="61">
        <v>6.375</v>
      </c>
      <c r="S72" s="61">
        <v>18.1</v>
      </c>
      <c r="T72" s="61">
        <v>21.86</v>
      </c>
      <c r="U72" s="61">
        <v>0.05</v>
      </c>
      <c r="V72" s="61"/>
      <c r="W72" s="61">
        <v>0.002</v>
      </c>
      <c r="X72" s="101">
        <v>0.002</v>
      </c>
      <c r="Y72" s="61">
        <v>0.5556</v>
      </c>
      <c r="Z72" s="61">
        <v>0.1279</v>
      </c>
      <c r="AA72" s="62">
        <v>0.05864000000000001</v>
      </c>
      <c r="AB72" s="61"/>
      <c r="AC72" s="61"/>
      <c r="AE72" s="116">
        <f t="shared" si="5"/>
        <v>0.2142857142857143</v>
      </c>
      <c r="AF72" s="116">
        <f t="shared" si="6"/>
        <v>0.07272727272727272</v>
      </c>
      <c r="AG72" s="116">
        <f t="shared" si="7"/>
        <v>2.2222222222222223</v>
      </c>
      <c r="AH72" s="116">
        <f t="shared" si="8"/>
        <v>407.14285714285717</v>
      </c>
      <c r="AI72" s="116">
        <f t="shared" si="9"/>
        <v>0.7142857142857143</v>
      </c>
      <c r="AJ72" s="116">
        <f t="shared" si="10"/>
        <v>4.232857142857143</v>
      </c>
      <c r="AK72" s="116">
        <f t="shared" si="11"/>
        <v>0.4838709677419355</v>
      </c>
      <c r="AL72" s="116">
        <f t="shared" si="12"/>
        <v>2.5641025641025643</v>
      </c>
      <c r="AM72" s="116">
        <f t="shared" si="13"/>
        <v>34.589999999999996</v>
      </c>
      <c r="AN72" s="116">
        <f t="shared" si="14"/>
        <v>34.69166666666667</v>
      </c>
      <c r="AO72" s="116">
        <f t="shared" si="15"/>
        <v>150.34782608695653</v>
      </c>
      <c r="AP72" s="116">
        <f t="shared" si="16"/>
        <v>42.725</v>
      </c>
      <c r="AQ72" s="116">
        <f t="shared" si="17"/>
        <v>82.19999999999999</v>
      </c>
      <c r="AR72" s="95">
        <f t="shared" si="56"/>
        <v>0.4216965034285822</v>
      </c>
      <c r="AS72" s="116">
        <f t="shared" si="18"/>
        <v>4.838709677419355</v>
      </c>
      <c r="AT72" s="116"/>
      <c r="AU72" s="116">
        <f t="shared" si="20"/>
        <v>0.06349206349206349</v>
      </c>
      <c r="AV72" s="116">
        <f t="shared" si="21"/>
        <v>0.061538461538461535</v>
      </c>
      <c r="AW72" s="95">
        <f t="shared" si="24"/>
        <v>9.135714285714286</v>
      </c>
      <c r="AX72" s="95">
        <f t="shared" si="57"/>
        <v>4.188571428571429</v>
      </c>
      <c r="AY72" s="95"/>
      <c r="AZ72" s="95">
        <f t="shared" si="58"/>
        <v>4.9471428571428575</v>
      </c>
      <c r="BA72" s="113"/>
      <c r="BB72" s="113"/>
      <c r="BC72" s="116">
        <f t="shared" si="59"/>
        <v>222.9078810320115</v>
      </c>
      <c r="BD72" s="116">
        <f t="shared" si="60"/>
        <v>129.15785714285713</v>
      </c>
      <c r="BE72" s="120">
        <f t="shared" si="61"/>
        <v>26.62855646651688</v>
      </c>
      <c r="BF72" s="117">
        <f>(('[1]setup'!$B$13*'[1]setup'!$B$14*'[1]setup'!$B$15)/10^(-R72))*10^6</f>
        <v>28.118607110590666</v>
      </c>
      <c r="BG72" s="118">
        <f t="shared" si="62"/>
        <v>5.26814527184403</v>
      </c>
      <c r="BH72" s="117">
        <f t="shared" si="63"/>
        <v>93.75002388915436</v>
      </c>
      <c r="BI72" s="117">
        <f t="shared" si="64"/>
        <v>223.32957753544008</v>
      </c>
      <c r="BJ72" s="117">
        <f t="shared" si="65"/>
        <v>162.5446095252918</v>
      </c>
      <c r="BK72" s="119">
        <f t="shared" si="66"/>
        <v>15.75253542434583</v>
      </c>
      <c r="BL72" s="113"/>
      <c r="BM72" s="116">
        <f>(3*('[1]setup'!$D$19*(10^-R72)^3)+2*('[1]setup'!$D$20*'[1]setup'!$D$19*((10^-R72)^2))+('[1]setup'!$D$21*'[1]setup'!$D$19*10^-R72)+('[1]setup'!$D$19*'[1]setup'!$D$22*(AP72/(10^6*2))*(10^-R72)^3))*10^6</f>
        <v>0.0005072726481436781</v>
      </c>
      <c r="BN72" s="95">
        <f t="shared" si="55"/>
        <v>66.05362055464045</v>
      </c>
      <c r="BO72" s="117">
        <f>(BN72/((('[1]setup'!$C$26)/10^-R72)+2*(('[1]setup'!$C$26*'[1]setup'!$C$27)/(10^-R72^2))+3*(('[1]setup'!$C$26*'[1]setup'!$C$27*'[1]setup'!$C$28)/(10^-R72^3))))/(10^-R72^3/(10^-R72^3+'[1]setup'!$C$26*10^-R72^2+'[1]setup'!$C$26*'[1]setup'!$C$27*10^-R72+'[1]setup'!$C$26*'[1]setup'!$C$27*'[1]setup'!$C$28))</f>
        <v>27.06637968557607</v>
      </c>
      <c r="BP72" s="113"/>
      <c r="BQ72" s="111">
        <f t="shared" si="0"/>
        <v>222.90788103201146</v>
      </c>
      <c r="BR72" s="111">
        <f t="shared" si="1"/>
        <v>129.15785714285713</v>
      </c>
      <c r="BS72" s="111">
        <f t="shared" si="2"/>
        <v>1.725856141957052</v>
      </c>
      <c r="BT72" s="111">
        <f t="shared" si="3"/>
        <v>93.03573817486864</v>
      </c>
      <c r="BU72" s="111">
        <f t="shared" si="4"/>
        <v>1.8290489791600553</v>
      </c>
    </row>
    <row r="73" spans="1:73" ht="12.75">
      <c r="A73" s="64">
        <v>39966</v>
      </c>
      <c r="B73" s="2" t="s">
        <v>37</v>
      </c>
      <c r="C73" s="60">
        <v>977342</v>
      </c>
      <c r="E73" s="61">
        <v>0.006</v>
      </c>
      <c r="F73" s="61">
        <v>0.002</v>
      </c>
      <c r="G73" s="61">
        <v>0.02</v>
      </c>
      <c r="H73" s="61">
        <v>2.771</v>
      </c>
      <c r="I73" s="61">
        <v>0.045</v>
      </c>
      <c r="J73" s="68">
        <v>0.03832</v>
      </c>
      <c r="K73" s="101">
        <v>0.005</v>
      </c>
      <c r="L73" s="61">
        <v>0.5865</v>
      </c>
      <c r="M73" s="61">
        <v>0.7156</v>
      </c>
      <c r="N73" s="61">
        <v>0.4066</v>
      </c>
      <c r="O73" s="61">
        <v>3.472</v>
      </c>
      <c r="P73" s="68">
        <v>0.6439</v>
      </c>
      <c r="Q73" s="68">
        <v>3.098</v>
      </c>
      <c r="R73" s="61">
        <v>6.425</v>
      </c>
      <c r="S73" s="61">
        <v>19.2</v>
      </c>
      <c r="T73" s="61">
        <v>24.48</v>
      </c>
      <c r="U73" s="61">
        <v>0.05</v>
      </c>
      <c r="V73" s="61"/>
      <c r="W73" s="61">
        <v>0.002</v>
      </c>
      <c r="X73" s="101">
        <v>0.002739</v>
      </c>
      <c r="Y73" s="61">
        <v>1.395</v>
      </c>
      <c r="Z73" s="61">
        <v>0.4004</v>
      </c>
      <c r="AA73" s="62">
        <v>0.31708</v>
      </c>
      <c r="AB73" s="61"/>
      <c r="AC73" s="61"/>
      <c r="AE73" s="116">
        <f t="shared" si="5"/>
        <v>0.2142857142857143</v>
      </c>
      <c r="AF73" s="116">
        <f t="shared" si="6"/>
        <v>0.07272727272727272</v>
      </c>
      <c r="AG73" s="116">
        <f t="shared" si="7"/>
        <v>2.2222222222222223</v>
      </c>
      <c r="AH73" s="116">
        <f t="shared" si="8"/>
        <v>395.85714285714283</v>
      </c>
      <c r="AI73" s="116">
        <f t="shared" si="9"/>
        <v>3.2142857142857144</v>
      </c>
      <c r="AJ73" s="116">
        <f t="shared" si="10"/>
        <v>2.737142857142857</v>
      </c>
      <c r="AK73" s="116">
        <f t="shared" si="11"/>
        <v>0.4838709677419355</v>
      </c>
      <c r="AL73" s="116">
        <f t="shared" si="12"/>
        <v>15.038461538461538</v>
      </c>
      <c r="AM73" s="116">
        <f t="shared" si="13"/>
        <v>35.78</v>
      </c>
      <c r="AN73" s="116">
        <f t="shared" si="14"/>
        <v>33.88333333333333</v>
      </c>
      <c r="AO73" s="116">
        <f t="shared" si="15"/>
        <v>150.95652173913044</v>
      </c>
      <c r="AP73" s="116">
        <f t="shared" si="16"/>
        <v>40.24375</v>
      </c>
      <c r="AQ73" s="116">
        <f t="shared" si="17"/>
        <v>88.5142857142857</v>
      </c>
      <c r="AR73" s="95">
        <f t="shared" si="56"/>
        <v>0.3758374042884443</v>
      </c>
      <c r="AS73" s="116">
        <f t="shared" si="18"/>
        <v>4.838709677419355</v>
      </c>
      <c r="AT73" s="116"/>
      <c r="AU73" s="116">
        <f t="shared" si="20"/>
        <v>0.06349206349206349</v>
      </c>
      <c r="AV73" s="116">
        <f t="shared" si="21"/>
        <v>0.08427692307692308</v>
      </c>
      <c r="AW73" s="95">
        <f t="shared" si="24"/>
        <v>28.599999999999998</v>
      </c>
      <c r="AX73" s="95">
        <f t="shared" si="57"/>
        <v>22.648571428571426</v>
      </c>
      <c r="AY73" s="95"/>
      <c r="AZ73" s="95">
        <f t="shared" si="58"/>
        <v>5.951428571428572</v>
      </c>
      <c r="BA73" s="113"/>
      <c r="BB73" s="113"/>
      <c r="BC73" s="116">
        <f t="shared" si="59"/>
        <v>238.87260232521103</v>
      </c>
      <c r="BD73" s="116">
        <f t="shared" si="60"/>
        <v>131.49517857142857</v>
      </c>
      <c r="BE73" s="120">
        <f t="shared" si="61"/>
        <v>28.99210711413065</v>
      </c>
      <c r="BF73" s="117">
        <f>(('[1]setup'!$B$13*'[1]setup'!$B$14*'[1]setup'!$B$15)/10^(-R73))*10^6</f>
        <v>31.549596087349116</v>
      </c>
      <c r="BG73" s="118">
        <f t="shared" si="62"/>
        <v>13.273094843180594</v>
      </c>
      <c r="BH73" s="117">
        <f t="shared" si="63"/>
        <v>107.37742375378247</v>
      </c>
      <c r="BI73" s="117">
        <f t="shared" si="64"/>
        <v>239.24843972949947</v>
      </c>
      <c r="BJ73" s="117">
        <f t="shared" si="65"/>
        <v>176.31786950195828</v>
      </c>
      <c r="BK73" s="119">
        <f t="shared" si="66"/>
        <v>15.143328231762593</v>
      </c>
      <c r="BL73" s="113"/>
      <c r="BM73" s="116">
        <f>(3*('[1]setup'!$D$19*(10^-R73)^3)+2*('[1]setup'!$D$20*'[1]setup'!$D$19*((10^-R73)^2))+('[1]setup'!$D$21*'[1]setup'!$D$19*10^-R73)+('[1]setup'!$D$19*'[1]setup'!$D$22*(AP73/(10^6*2))*(10^-R73)^3))*10^6</f>
        <v>0.0004368339859270046</v>
      </c>
      <c r="BN73" s="95">
        <f t="shared" si="55"/>
        <v>76.20410190470773</v>
      </c>
      <c r="BO73" s="117">
        <f>(BN73/((('[1]setup'!$C$26)/10^-R73)+2*(('[1]setup'!$C$26*'[1]setup'!$C$27)/(10^-R73^2))+3*(('[1]setup'!$C$26*'[1]setup'!$C$27*'[1]setup'!$C$28)/(10^-R73^3))))/(10^-R73^3/(10^-R73^3+'[1]setup'!$C$26*10^-R73^2+'[1]setup'!$C$26*'[1]setup'!$C$27*10^-R73+'[1]setup'!$C$26*'[1]setup'!$C$27*'[1]setup'!$C$28))</f>
        <v>30.84494035720541</v>
      </c>
      <c r="BP73" s="113"/>
      <c r="BQ73" s="111">
        <f aca="true" t="shared" si="67" ref="BQ73:BQ98">AI73+AL73+AM73+AN73+AO73</f>
        <v>238.87260232521103</v>
      </c>
      <c r="BR73" s="111">
        <f aca="true" t="shared" si="68" ref="BR73:BR98">AJ73+AP73+AQ73</f>
        <v>131.49517857142857</v>
      </c>
      <c r="BS73" s="111">
        <f aca="true" t="shared" si="69" ref="BS73:BS98">BQ73/BR73</f>
        <v>1.8165882956343888</v>
      </c>
      <c r="BT73" s="111">
        <f aca="true" t="shared" si="70" ref="BT73:BT98">(AL73+AM73+AN73+AO73)-(AJ73+AP73+AQ73)</f>
        <v>104.16313803949674</v>
      </c>
      <c r="BU73" s="111">
        <f aca="true" t="shared" si="71" ref="BU73:BU98">AO73/AQ73</f>
        <v>1.7054481151935332</v>
      </c>
    </row>
    <row r="74" spans="1:73" ht="12.75">
      <c r="A74" s="58">
        <v>40050</v>
      </c>
      <c r="B74" s="2" t="s">
        <v>37</v>
      </c>
      <c r="C74" s="60">
        <v>990717</v>
      </c>
      <c r="D74" s="65"/>
      <c r="E74" s="61">
        <v>0.006</v>
      </c>
      <c r="F74" s="61">
        <v>0.002</v>
      </c>
      <c r="G74" s="61">
        <v>0.02187</v>
      </c>
      <c r="H74" s="61">
        <v>2.661</v>
      </c>
      <c r="I74" s="61">
        <v>0.01</v>
      </c>
      <c r="J74" s="68">
        <v>0.03232</v>
      </c>
      <c r="K74" s="101">
        <v>0.005</v>
      </c>
      <c r="L74" s="61">
        <v>0.2353</v>
      </c>
      <c r="M74" s="61">
        <v>0.7752</v>
      </c>
      <c r="N74" s="61">
        <v>0.4572</v>
      </c>
      <c r="O74" s="61">
        <v>3.666</v>
      </c>
      <c r="P74" s="68">
        <v>0.6228</v>
      </c>
      <c r="Q74" s="68">
        <v>2.87</v>
      </c>
      <c r="R74" s="61">
        <v>6.228</v>
      </c>
      <c r="S74" s="61">
        <v>17.6</v>
      </c>
      <c r="T74" s="61">
        <v>22.77</v>
      </c>
      <c r="U74" s="61">
        <v>0.05</v>
      </c>
      <c r="V74" s="61"/>
      <c r="W74" s="61">
        <v>0.002</v>
      </c>
      <c r="X74" s="101">
        <v>0.002</v>
      </c>
      <c r="Y74" s="61">
        <v>0.7996</v>
      </c>
      <c r="Z74" s="61">
        <v>0.01</v>
      </c>
      <c r="AA74" s="62">
        <v>-0.03232</v>
      </c>
      <c r="AB74" s="61"/>
      <c r="AC74" s="61"/>
      <c r="AE74" s="116">
        <f t="shared" si="5"/>
        <v>0.2142857142857143</v>
      </c>
      <c r="AF74" s="116">
        <f t="shared" si="6"/>
        <v>0.07272727272727272</v>
      </c>
      <c r="AG74" s="116">
        <f t="shared" si="7"/>
        <v>2.43</v>
      </c>
      <c r="AH74" s="116">
        <f t="shared" si="8"/>
        <v>380.14285714285717</v>
      </c>
      <c r="AI74" s="116">
        <f t="shared" si="9"/>
        <v>0.7142857142857143</v>
      </c>
      <c r="AJ74" s="116">
        <f t="shared" si="10"/>
        <v>2.3085714285714283</v>
      </c>
      <c r="AK74" s="116">
        <f t="shared" si="11"/>
        <v>0.4838709677419355</v>
      </c>
      <c r="AL74" s="116">
        <f t="shared" si="12"/>
        <v>6.033333333333333</v>
      </c>
      <c r="AM74" s="116">
        <f t="shared" si="13"/>
        <v>38.760000000000005</v>
      </c>
      <c r="AN74" s="116">
        <f t="shared" si="14"/>
        <v>38.1</v>
      </c>
      <c r="AO74" s="116">
        <f t="shared" si="15"/>
        <v>159.3913043478261</v>
      </c>
      <c r="AP74" s="116">
        <f t="shared" si="16"/>
        <v>38.925000000000004</v>
      </c>
      <c r="AQ74" s="116">
        <f t="shared" si="17"/>
        <v>82</v>
      </c>
      <c r="AR74" s="95">
        <f t="shared" si="56"/>
        <v>0.5915616341754742</v>
      </c>
      <c r="AS74" s="116">
        <f t="shared" si="18"/>
        <v>4.838709677419355</v>
      </c>
      <c r="AT74" s="116"/>
      <c r="AU74" s="116">
        <f t="shared" si="20"/>
        <v>0.06349206349206349</v>
      </c>
      <c r="AV74" s="116">
        <f t="shared" si="21"/>
        <v>0.061538461538461535</v>
      </c>
      <c r="AW74" s="95">
        <f t="shared" si="24"/>
        <v>0.7142857142857143</v>
      </c>
      <c r="AX74" s="95">
        <f t="shared" si="57"/>
        <v>-2.3085714285714283</v>
      </c>
      <c r="AY74" s="95"/>
      <c r="AZ74" s="95">
        <f t="shared" si="58"/>
        <v>3.0228571428571427</v>
      </c>
      <c r="BA74" s="113"/>
      <c r="BB74" s="113"/>
      <c r="BC74" s="116">
        <f t="shared" si="59"/>
        <v>242.99892339544516</v>
      </c>
      <c r="BD74" s="116">
        <f t="shared" si="60"/>
        <v>123.23357142857142</v>
      </c>
      <c r="BE74" s="120">
        <f t="shared" si="61"/>
        <v>32.702000412176375</v>
      </c>
      <c r="BF74" s="117">
        <f>(('[1]setup'!$B$13*'[1]setup'!$B$14*'[1]setup'!$B$15)/10^(-R74))*10^6</f>
        <v>20.044434281721653</v>
      </c>
      <c r="BG74" s="118">
        <f t="shared" si="62"/>
        <v>7.495645659012564</v>
      </c>
      <c r="BH74" s="117">
        <f t="shared" si="63"/>
        <v>119.76535196687372</v>
      </c>
      <c r="BI74" s="117">
        <f t="shared" si="64"/>
        <v>243.59048502962062</v>
      </c>
      <c r="BJ74" s="117">
        <f t="shared" si="65"/>
        <v>150.77365136930567</v>
      </c>
      <c r="BK74" s="119">
        <f t="shared" si="66"/>
        <v>23.535820094559607</v>
      </c>
      <c r="BL74" s="113"/>
      <c r="BM74" s="116">
        <f>(3*('[1]setup'!$D$19*(10^-R74)^3)+2*('[1]setup'!$D$20*'[1]setup'!$D$19*((10^-R74)^2))+('[1]setup'!$D$21*'[1]setup'!$D$19*10^-R74)+('[1]setup'!$D$19*'[1]setup'!$D$22*(AP74/(10^6*2))*(10^-R74)^3))*10^6</f>
        <v>0.0008071311396659217</v>
      </c>
      <c r="BN74" s="95">
        <f t="shared" si="55"/>
        <v>100.31328645046719</v>
      </c>
      <c r="BO74" s="117">
        <f>(BN74/((('[1]setup'!$C$26)/10^-R74)+2*(('[1]setup'!$C$26*'[1]setup'!$C$27)/(10^-R74^2))+3*(('[1]setup'!$C$26*'[1]setup'!$C$27*'[1]setup'!$C$28)/(10^-R74^3))))/(10^-R74^3/(10^-R74^3+'[1]setup'!$C$26*10^-R74^2+'[1]setup'!$C$26*'[1]setup'!$C$27*10^-R74+'[1]setup'!$C$26*'[1]setup'!$C$27*'[1]setup'!$C$28))</f>
        <v>42.62866936703963</v>
      </c>
      <c r="BP74" s="113"/>
      <c r="BQ74" s="111">
        <f t="shared" si="67"/>
        <v>242.99892339544516</v>
      </c>
      <c r="BR74" s="111">
        <f t="shared" si="68"/>
        <v>123.23357142857142</v>
      </c>
      <c r="BS74" s="111">
        <f t="shared" si="69"/>
        <v>1.971856536968841</v>
      </c>
      <c r="BT74" s="111">
        <f t="shared" si="70"/>
        <v>119.05106625258802</v>
      </c>
      <c r="BU74" s="111">
        <f t="shared" si="71"/>
        <v>1.943796394485684</v>
      </c>
    </row>
    <row r="75" spans="1:73" ht="12.75">
      <c r="A75" s="58">
        <v>40064</v>
      </c>
      <c r="B75" s="2" t="s">
        <v>37</v>
      </c>
      <c r="C75" s="60">
        <v>992641</v>
      </c>
      <c r="D75" s="63"/>
      <c r="E75" s="61">
        <v>0.006</v>
      </c>
      <c r="F75" s="61">
        <v>0.002</v>
      </c>
      <c r="G75" s="61">
        <v>0.02257</v>
      </c>
      <c r="H75" s="61">
        <v>2.013</v>
      </c>
      <c r="I75" s="61">
        <v>0.042</v>
      </c>
      <c r="J75" s="68">
        <v>0.03604</v>
      </c>
      <c r="K75" s="101">
        <v>0.005</v>
      </c>
      <c r="L75" s="61">
        <v>0.597</v>
      </c>
      <c r="M75" s="61">
        <v>0.5406</v>
      </c>
      <c r="N75" s="61">
        <v>0.3407</v>
      </c>
      <c r="O75" s="61">
        <v>3.485</v>
      </c>
      <c r="P75" s="68">
        <v>0.5989</v>
      </c>
      <c r="Q75" s="68">
        <v>3.812</v>
      </c>
      <c r="R75" s="61">
        <v>6.238</v>
      </c>
      <c r="S75" s="61">
        <v>12.6</v>
      </c>
      <c r="T75" s="61">
        <v>26.28</v>
      </c>
      <c r="U75" s="61">
        <v>0.05</v>
      </c>
      <c r="V75" s="61"/>
      <c r="W75" s="61">
        <v>0.002</v>
      </c>
      <c r="X75" s="101">
        <v>0.002212</v>
      </c>
      <c r="Y75" s="61">
        <v>1.372</v>
      </c>
      <c r="Z75" s="61">
        <v>0.4009</v>
      </c>
      <c r="AA75" s="62">
        <v>0.32286</v>
      </c>
      <c r="AB75" s="61"/>
      <c r="AC75" s="61"/>
      <c r="AE75" s="116">
        <f>$E75/56*2*1000</f>
        <v>0.2142857142857143</v>
      </c>
      <c r="AF75" s="116">
        <f>$F75/55*2*1000</f>
        <v>0.07272727272727272</v>
      </c>
      <c r="AG75" s="116">
        <f>$G75/27*3*1000</f>
        <v>2.507777777777778</v>
      </c>
      <c r="AH75" s="116">
        <f>$H75/28*4*1000</f>
        <v>287.57142857142856</v>
      </c>
      <c r="AI75" s="116">
        <f>$I75/14*1*1000</f>
        <v>3</v>
      </c>
      <c r="AJ75" s="116">
        <f>$J75/14*1*1000</f>
        <v>2.5742857142857143</v>
      </c>
      <c r="AK75" s="116">
        <f>$K75/31*3*1000</f>
        <v>0.4838709677419355</v>
      </c>
      <c r="AL75" s="116">
        <f>$L75/39*1*1000</f>
        <v>15.307692307692307</v>
      </c>
      <c r="AM75" s="116">
        <f>$M75/40*2*1000</f>
        <v>27.029999999999998</v>
      </c>
      <c r="AN75" s="116">
        <f>$N75/24*2*1000</f>
        <v>28.391666666666666</v>
      </c>
      <c r="AO75" s="116">
        <f>$O75/23*1*1000</f>
        <v>151.52173913043478</v>
      </c>
      <c r="AP75" s="116">
        <f>$P75/32*2*1000</f>
        <v>37.43125</v>
      </c>
      <c r="AQ75" s="116">
        <f>$Q75/35*1*1000</f>
        <v>108.91428571428571</v>
      </c>
      <c r="AR75" s="95">
        <f t="shared" si="56"/>
        <v>0.5780960474057174</v>
      </c>
      <c r="AS75" s="116">
        <f>$U75/31*3*1000</f>
        <v>4.838709677419355</v>
      </c>
      <c r="AT75" s="116"/>
      <c r="AU75" s="116">
        <f>$W75/63*2*1000</f>
        <v>0.06349206349206349</v>
      </c>
      <c r="AV75" s="116">
        <f>$X75/65*2*1000</f>
        <v>0.06806153846153845</v>
      </c>
      <c r="AW75" s="95">
        <f t="shared" si="24"/>
        <v>28.635714285714286</v>
      </c>
      <c r="AX75" s="95">
        <f t="shared" si="57"/>
        <v>23.06142857142857</v>
      </c>
      <c r="AY75" s="95"/>
      <c r="AZ75" s="95">
        <f t="shared" si="58"/>
        <v>5.574285714285715</v>
      </c>
      <c r="BA75" s="113"/>
      <c r="BB75" s="113"/>
      <c r="BC75" s="116">
        <f t="shared" si="59"/>
        <v>225.25109810479375</v>
      </c>
      <c r="BD75" s="116">
        <f t="shared" si="60"/>
        <v>148.91982142857142</v>
      </c>
      <c r="BE75" s="120">
        <f t="shared" si="61"/>
        <v>20.400109332765982</v>
      </c>
      <c r="BF75" s="117">
        <f>(('[1]setup'!$B$13*'[1]setup'!$B$14*'[1]setup'!$B$15)/10^(-R75))*10^6</f>
        <v>20.511329134717915</v>
      </c>
      <c r="BG75" s="118">
        <f t="shared" si="62"/>
        <v>12.872261809857102</v>
      </c>
      <c r="BH75" s="117">
        <f t="shared" si="63"/>
        <v>76.33127667622233</v>
      </c>
      <c r="BI75" s="117">
        <f t="shared" si="64"/>
        <v>225.82919415219948</v>
      </c>
      <c r="BJ75" s="117">
        <f t="shared" si="65"/>
        <v>182.30341237314644</v>
      </c>
      <c r="BK75" s="119">
        <f t="shared" si="66"/>
        <v>10.664617598091857</v>
      </c>
      <c r="BL75" s="113"/>
      <c r="BM75" s="116">
        <f>(3*('[1]setup'!$D$19*(10^-R75)^3)+2*('[1]setup'!$D$20*'[1]setup'!$D$19*((10^-R75)^2))+('[1]setup'!$D$21*'[1]setup'!$D$19*10^-R75)+('[1]setup'!$D$19*'[1]setup'!$D$22*(AP75/(10^6*2))*(10^-R75)^3))*10^6</f>
        <v>0.0007809782234309812</v>
      </c>
      <c r="BN75" s="95">
        <f t="shared" si="55"/>
        <v>56.398824567133545</v>
      </c>
      <c r="BO75" s="117">
        <f>(BN75/((('[1]setup'!$C$26)/10^-R75)+2*(('[1]setup'!$C$26*'[1]setup'!$C$27)/(10^-R75^2))+3*(('[1]setup'!$C$26*'[1]setup'!$C$27*'[1]setup'!$C$28)/(10^-R75^3))))/(10^-R75^3/(10^-R75^3+'[1]setup'!$C$26*10^-R75^2+'[1]setup'!$C$26*'[1]setup'!$C$27*10^-R75+'[1]setup'!$C$26*'[1]setup'!$C$27*'[1]setup'!$C$28))</f>
        <v>23.907840210925148</v>
      </c>
      <c r="BP75" s="113"/>
      <c r="BQ75" s="111">
        <f t="shared" si="67"/>
        <v>225.25109810479375</v>
      </c>
      <c r="BR75" s="111">
        <f t="shared" si="68"/>
        <v>148.91982142857142</v>
      </c>
      <c r="BS75" s="111">
        <f t="shared" si="69"/>
        <v>1.512566265148486</v>
      </c>
      <c r="BT75" s="111">
        <f t="shared" si="70"/>
        <v>73.33127667622233</v>
      </c>
      <c r="BU75" s="111">
        <f t="shared" si="71"/>
        <v>1.391201697157717</v>
      </c>
    </row>
    <row r="76" spans="1:73" ht="12.75">
      <c r="A76" s="58">
        <v>40078</v>
      </c>
      <c r="B76" s="2" t="s">
        <v>37</v>
      </c>
      <c r="C76" s="60">
        <v>994160</v>
      </c>
      <c r="D76" s="63"/>
      <c r="E76" s="61">
        <v>0.006</v>
      </c>
      <c r="F76" s="61">
        <v>0.002</v>
      </c>
      <c r="G76" s="61">
        <v>0.02</v>
      </c>
      <c r="H76" s="61">
        <v>2.011</v>
      </c>
      <c r="I76" s="61">
        <v>0.037</v>
      </c>
      <c r="J76" s="68">
        <v>0.0417</v>
      </c>
      <c r="K76" s="101">
        <v>0.005</v>
      </c>
      <c r="L76" s="61">
        <v>0.4374</v>
      </c>
      <c r="M76" s="61">
        <v>0.6757</v>
      </c>
      <c r="N76" s="61">
        <v>0.4128</v>
      </c>
      <c r="O76" s="61">
        <v>3.402</v>
      </c>
      <c r="P76" s="68">
        <v>0.6802</v>
      </c>
      <c r="Q76" s="68">
        <v>3.29</v>
      </c>
      <c r="R76" s="61">
        <v>6.2</v>
      </c>
      <c r="S76" s="61">
        <v>18.1</v>
      </c>
      <c r="T76" s="61">
        <v>24.34</v>
      </c>
      <c r="U76" s="61">
        <v>0.05</v>
      </c>
      <c r="V76" s="61"/>
      <c r="W76" s="61">
        <v>0.002</v>
      </c>
      <c r="X76" s="101">
        <v>0.002483</v>
      </c>
      <c r="Y76" s="61">
        <v>0.862</v>
      </c>
      <c r="Z76" s="61">
        <v>0.313</v>
      </c>
      <c r="AA76" s="62">
        <v>0.2343</v>
      </c>
      <c r="AB76" s="61"/>
      <c r="AC76" s="61"/>
      <c r="AE76" s="116">
        <f>$E76/56*2*1000</f>
        <v>0.2142857142857143</v>
      </c>
      <c r="AF76" s="116">
        <f>$F76/55*2*1000</f>
        <v>0.07272727272727272</v>
      </c>
      <c r="AG76" s="116">
        <f>$G76/27*3*1000</f>
        <v>2.2222222222222223</v>
      </c>
      <c r="AH76" s="116">
        <f>$H76/28*4*1000</f>
        <v>287.28571428571433</v>
      </c>
      <c r="AI76" s="116">
        <f>$I76/14*1*1000</f>
        <v>2.6428571428571423</v>
      </c>
      <c r="AJ76" s="116">
        <f>$J76/14*1*1000</f>
        <v>2.9785714285714286</v>
      </c>
      <c r="AK76" s="116">
        <f>$K76/31*3*1000</f>
        <v>0.4838709677419355</v>
      </c>
      <c r="AL76" s="116">
        <f>$L76/39*1*1000</f>
        <v>11.215384615384615</v>
      </c>
      <c r="AM76" s="116">
        <f>$M76/40*2*1000</f>
        <v>33.785</v>
      </c>
      <c r="AN76" s="116">
        <f>$N76/24*2*1000</f>
        <v>34.4</v>
      </c>
      <c r="AO76" s="116">
        <f>$O76/23*1*1000</f>
        <v>147.91304347826087</v>
      </c>
      <c r="AP76" s="116">
        <f>$P76/32*2*1000</f>
        <v>42.5125</v>
      </c>
      <c r="AQ76" s="116">
        <f>$Q76/35*1*1000</f>
        <v>94</v>
      </c>
      <c r="AR76" s="95">
        <f t="shared" si="56"/>
        <v>0.6309573444801929</v>
      </c>
      <c r="AS76" s="116">
        <f>$U76/31*3*1000</f>
        <v>4.838709677419355</v>
      </c>
      <c r="AT76" s="116"/>
      <c r="AU76" s="116">
        <f>$W76/63*2*1000</f>
        <v>0.06349206349206349</v>
      </c>
      <c r="AV76" s="116">
        <f>$X76/65*2*1000</f>
        <v>0.0764</v>
      </c>
      <c r="AW76" s="95">
        <f t="shared" si="24"/>
        <v>22.357142857142858</v>
      </c>
      <c r="AX76" s="95">
        <f t="shared" si="57"/>
        <v>16.735714285714288</v>
      </c>
      <c r="AY76" s="95"/>
      <c r="AZ76" s="95">
        <f t="shared" si="58"/>
        <v>5.621428571428571</v>
      </c>
      <c r="BA76" s="113"/>
      <c r="BB76" s="113"/>
      <c r="BC76" s="116">
        <f t="shared" si="59"/>
        <v>229.95628523650262</v>
      </c>
      <c r="BD76" s="116">
        <f t="shared" si="60"/>
        <v>139.49107142857144</v>
      </c>
      <c r="BE76" s="120">
        <f t="shared" si="61"/>
        <v>24.486631769284323</v>
      </c>
      <c r="BF76" s="117">
        <f>(('[1]setup'!$B$13*'[1]setup'!$B$14*'[1]setup'!$B$15)/10^(-R76))*10^6</f>
        <v>18.792900032864864</v>
      </c>
      <c r="BG76" s="118">
        <f t="shared" si="62"/>
        <v>8.06122009580896</v>
      </c>
      <c r="BH76" s="117">
        <f t="shared" si="63"/>
        <v>90.4652138079312</v>
      </c>
      <c r="BI76" s="117">
        <f t="shared" si="64"/>
        <v>230.5872425809828</v>
      </c>
      <c r="BJ76" s="117">
        <f t="shared" si="65"/>
        <v>166.34519155724524</v>
      </c>
      <c r="BK76" s="119">
        <f t="shared" si="66"/>
        <v>16.18463131218092</v>
      </c>
      <c r="BL76" s="113"/>
      <c r="BM76" s="116">
        <f>(3*('[1]setup'!$D$19*(10^-R76)^3)+2*('[1]setup'!$D$20*'[1]setup'!$D$19*((10^-R76)^2))+('[1]setup'!$D$21*'[1]setup'!$D$19*10^-R76)+('[1]setup'!$D$19*'[1]setup'!$D$22*(AP76/(10^6*2))*(10^-R76)^3))*10^6</f>
        <v>0.0008861225444467984</v>
      </c>
      <c r="BN76" s="95">
        <f t="shared" si="55"/>
        <v>72.30415724209095</v>
      </c>
      <c r="BO76" s="117">
        <f>(BN76/((('[1]setup'!$C$26)/10^-R76)+2*(('[1]setup'!$C$26*'[1]setup'!$C$27)/(10^-R76^2))+3*(('[1]setup'!$C$26*'[1]setup'!$C$27*'[1]setup'!$C$28)/(10^-R76^3))))/(10^-R76^3/(10^-R76^3+'[1]setup'!$C$26*10^-R76^2+'[1]setup'!$C$26*'[1]setup'!$C$27*10^-R76+'[1]setup'!$C$26*'[1]setup'!$C$27*'[1]setup'!$C$28))</f>
        <v>30.938755015550974</v>
      </c>
      <c r="BP76" s="113"/>
      <c r="BQ76" s="111">
        <f t="shared" si="67"/>
        <v>229.95628523650262</v>
      </c>
      <c r="BR76" s="111">
        <f t="shared" si="68"/>
        <v>139.49107142857144</v>
      </c>
      <c r="BS76" s="111">
        <f t="shared" si="69"/>
        <v>1.6485376653964214</v>
      </c>
      <c r="BT76" s="111">
        <f t="shared" si="70"/>
        <v>87.82235666507404</v>
      </c>
      <c r="BU76" s="111">
        <f t="shared" si="71"/>
        <v>1.5735430157261796</v>
      </c>
    </row>
    <row r="77" spans="1:73" ht="12.75">
      <c r="A77" s="58">
        <v>40091</v>
      </c>
      <c r="B77" s="2" t="s">
        <v>37</v>
      </c>
      <c r="C77" s="60">
        <v>994601</v>
      </c>
      <c r="D77" s="65"/>
      <c r="E77" s="61">
        <v>0.006</v>
      </c>
      <c r="F77" s="61">
        <v>0.002</v>
      </c>
      <c r="G77" s="61">
        <v>0.02708</v>
      </c>
      <c r="H77" s="61">
        <v>2.047</v>
      </c>
      <c r="I77" s="61">
        <v>0.015</v>
      </c>
      <c r="J77" s="68">
        <v>0.02826</v>
      </c>
      <c r="K77" s="101">
        <v>0.005</v>
      </c>
      <c r="L77" s="61">
        <v>0.4423</v>
      </c>
      <c r="M77" s="61">
        <v>0.8159</v>
      </c>
      <c r="N77" s="61">
        <v>0.501</v>
      </c>
      <c r="O77" s="61">
        <v>4.111</v>
      </c>
      <c r="P77" s="68">
        <v>0.6438</v>
      </c>
      <c r="Q77" s="68">
        <v>2.42</v>
      </c>
      <c r="R77" s="61">
        <v>6.29</v>
      </c>
      <c r="S77" s="61">
        <v>17.4</v>
      </c>
      <c r="T77" s="61">
        <v>22.78</v>
      </c>
      <c r="U77" s="61">
        <v>0.05</v>
      </c>
      <c r="V77" s="61"/>
      <c r="W77" s="61">
        <v>0.002</v>
      </c>
      <c r="X77" s="101">
        <v>0.002067</v>
      </c>
      <c r="Y77" s="61">
        <v>1.036</v>
      </c>
      <c r="Z77" s="61">
        <v>0.1595</v>
      </c>
      <c r="AA77" s="62">
        <v>0.11624000000000001</v>
      </c>
      <c r="AB77" s="61"/>
      <c r="AC77" s="61"/>
      <c r="AE77" s="116">
        <f>$E77/56*2*1000</f>
        <v>0.2142857142857143</v>
      </c>
      <c r="AF77" s="116">
        <f>$F77/55*2*1000</f>
        <v>0.07272727272727272</v>
      </c>
      <c r="AG77" s="116">
        <f>$G77/27*3*1000</f>
        <v>3.0088888888888885</v>
      </c>
      <c r="AH77" s="116">
        <f>$H77/28*4*1000</f>
        <v>292.42857142857144</v>
      </c>
      <c r="AI77" s="116">
        <f>$I77/14*1*1000</f>
        <v>1.0714285714285714</v>
      </c>
      <c r="AJ77" s="116">
        <f>$J77/14*1*1000</f>
        <v>2.0185714285714287</v>
      </c>
      <c r="AK77" s="116">
        <f>$K77/31*3*1000</f>
        <v>0.4838709677419355</v>
      </c>
      <c r="AL77" s="116">
        <f>$L77/39*1*1000</f>
        <v>11.341025641025642</v>
      </c>
      <c r="AM77" s="116">
        <f>$M77/40*2*1000</f>
        <v>40.794999999999995</v>
      </c>
      <c r="AN77" s="116">
        <f>$N77/24*2*1000</f>
        <v>41.75</v>
      </c>
      <c r="AO77" s="116">
        <f>$O77/23*1*1000</f>
        <v>178.7391304347826</v>
      </c>
      <c r="AP77" s="116">
        <f>$P77/32*2*1000</f>
        <v>40.237500000000004</v>
      </c>
      <c r="AQ77" s="116">
        <f>$Q77/35*1*1000</f>
        <v>69.14285714285714</v>
      </c>
      <c r="AR77" s="95">
        <f t="shared" si="56"/>
        <v>0.5128613839913648</v>
      </c>
      <c r="AS77" s="116">
        <f>$U77/31*3*1000</f>
        <v>4.838709677419355</v>
      </c>
      <c r="AT77" s="116"/>
      <c r="AU77" s="116">
        <f>$W77/63*2*1000</f>
        <v>0.06349206349206349</v>
      </c>
      <c r="AV77" s="116">
        <f>$X77/65*2*1000</f>
        <v>0.0636</v>
      </c>
      <c r="AW77" s="95">
        <f t="shared" si="24"/>
        <v>11.392857142857144</v>
      </c>
      <c r="AX77" s="95">
        <f t="shared" si="57"/>
        <v>8.302857142857144</v>
      </c>
      <c r="AY77" s="95"/>
      <c r="AZ77" s="95">
        <f t="shared" si="58"/>
        <v>3.09</v>
      </c>
      <c r="BA77" s="113"/>
      <c r="BB77" s="113"/>
      <c r="BC77" s="116">
        <f t="shared" si="59"/>
        <v>273.6965846472368</v>
      </c>
      <c r="BD77" s="116">
        <f t="shared" si="60"/>
        <v>111.39892857142857</v>
      </c>
      <c r="BE77" s="120">
        <f t="shared" si="61"/>
        <v>42.1447798026284</v>
      </c>
      <c r="BF77" s="117">
        <f>(('[1]setup'!$B$13*'[1]setup'!$B$14*'[1]setup'!$B$15)/10^(-R77))*10^6</f>
        <v>23.120318023432645</v>
      </c>
      <c r="BG77" s="118">
        <f t="shared" si="62"/>
        <v>9.760912160093316</v>
      </c>
      <c r="BH77" s="117">
        <f t="shared" si="63"/>
        <v>162.29765607580816</v>
      </c>
      <c r="BI77" s="117">
        <f t="shared" si="64"/>
        <v>274.20944603122814</v>
      </c>
      <c r="BJ77" s="117">
        <f t="shared" si="65"/>
        <v>144.28015875495453</v>
      </c>
      <c r="BK77" s="119">
        <f t="shared" si="66"/>
        <v>31.047195865870524</v>
      </c>
      <c r="BL77" s="113"/>
      <c r="BM77" s="116">
        <f>(3*('[1]setup'!$D$19*(10^-R77)^3)+2*('[1]setup'!$D$20*'[1]setup'!$D$19*((10^-R77)^2))+('[1]setup'!$D$21*'[1]setup'!$D$19*10^-R77)+('[1]setup'!$D$19*'[1]setup'!$D$22*(AP77/(10^6*2))*(10^-R77)^3))*10^6</f>
        <v>0.0006602741873090115</v>
      </c>
      <c r="BN77" s="95">
        <f t="shared" si="55"/>
        <v>139.6908597105542</v>
      </c>
      <c r="BO77" s="117">
        <f>(BN77/((('[1]setup'!$C$26)/10^-R77)+2*(('[1]setup'!$C$26*'[1]setup'!$C$27)/(10^-R77^2))+3*(('[1]setup'!$C$26*'[1]setup'!$C$27*'[1]setup'!$C$28)/(10^-R77^3))))/(10^-R77^3/(10^-R77^3+'[1]setup'!$C$26*10^-R77^2+'[1]setup'!$C$26*'[1]setup'!$C$27*10^-R77+'[1]setup'!$C$26*'[1]setup'!$C$27*'[1]setup'!$C$28))</f>
        <v>58.45788371063956</v>
      </c>
      <c r="BP77" s="113"/>
      <c r="BQ77" s="111">
        <f t="shared" si="67"/>
        <v>273.6965846472368</v>
      </c>
      <c r="BR77" s="111">
        <f t="shared" si="68"/>
        <v>111.39892857142857</v>
      </c>
      <c r="BS77" s="111">
        <f t="shared" si="69"/>
        <v>2.4569050004080033</v>
      </c>
      <c r="BT77" s="111">
        <f t="shared" si="70"/>
        <v>161.2262275043797</v>
      </c>
      <c r="BU77" s="111">
        <f t="shared" si="71"/>
        <v>2.585070068271649</v>
      </c>
    </row>
    <row r="78" spans="1:73" ht="12.75">
      <c r="A78" s="58">
        <v>40106</v>
      </c>
      <c r="B78" s="2" t="s">
        <v>37</v>
      </c>
      <c r="C78" s="60">
        <v>997812</v>
      </c>
      <c r="D78" s="65"/>
      <c r="E78" s="61">
        <v>0.006</v>
      </c>
      <c r="F78" s="61">
        <v>0.002</v>
      </c>
      <c r="G78" s="61">
        <v>0.02</v>
      </c>
      <c r="H78" s="61">
        <v>2.12</v>
      </c>
      <c r="I78" s="61">
        <v>0.01</v>
      </c>
      <c r="J78" s="62">
        <v>0.03632</v>
      </c>
      <c r="K78" s="101">
        <v>0.005</v>
      </c>
      <c r="L78" s="61">
        <v>0.2706</v>
      </c>
      <c r="M78" s="61">
        <v>0.697</v>
      </c>
      <c r="N78" s="61">
        <v>0.4344</v>
      </c>
      <c r="O78" s="61">
        <v>3.354</v>
      </c>
      <c r="P78" s="61">
        <v>0.6831</v>
      </c>
      <c r="Q78" s="62">
        <v>2.802</v>
      </c>
      <c r="R78" s="61">
        <v>6.241</v>
      </c>
      <c r="S78" s="61">
        <v>19.9</v>
      </c>
      <c r="T78" s="61">
        <v>23.25</v>
      </c>
      <c r="U78" s="61">
        <v>0.05</v>
      </c>
      <c r="V78" s="61"/>
      <c r="W78" s="61">
        <v>0.002</v>
      </c>
      <c r="X78" s="101">
        <v>0.002078</v>
      </c>
      <c r="Y78" s="61">
        <v>0.5</v>
      </c>
      <c r="Z78" s="61">
        <v>0.01</v>
      </c>
      <c r="AA78" s="62">
        <v>-0.03632</v>
      </c>
      <c r="AB78" s="61"/>
      <c r="AC78" s="61"/>
      <c r="AE78" s="116">
        <f>$E78/56*2*1000</f>
        <v>0.2142857142857143</v>
      </c>
      <c r="AF78" s="116">
        <f>$F78/55*2*1000</f>
        <v>0.07272727272727272</v>
      </c>
      <c r="AG78" s="116">
        <f>$G78/27*3*1000</f>
        <v>2.2222222222222223</v>
      </c>
      <c r="AH78" s="116">
        <f>$H78/28*4*1000</f>
        <v>302.8571428571429</v>
      </c>
      <c r="AI78" s="116">
        <f>$I78/14*1*1000</f>
        <v>0.7142857142857143</v>
      </c>
      <c r="AJ78" s="116">
        <f>$J78/14*1*1000</f>
        <v>2.5942857142857143</v>
      </c>
      <c r="AK78" s="116">
        <f>$K78/31*3*1000</f>
        <v>0.4838709677419355</v>
      </c>
      <c r="AL78" s="116">
        <f>$L78/39*1*1000</f>
        <v>6.938461538461539</v>
      </c>
      <c r="AM78" s="116">
        <f>$M78/40*2*1000</f>
        <v>34.85</v>
      </c>
      <c r="AN78" s="116">
        <f>$N78/24*2*1000</f>
        <v>36.2</v>
      </c>
      <c r="AO78" s="116">
        <f>$O78/23*1*1000</f>
        <v>145.82608695652175</v>
      </c>
      <c r="AP78" s="116">
        <f>$P78/32*2*1000</f>
        <v>42.69375</v>
      </c>
      <c r="AQ78" s="116">
        <f>$Q78/35*1*1000</f>
        <v>80.05714285714285</v>
      </c>
      <c r="AR78" s="95">
        <f t="shared" si="56"/>
        <v>0.5741164622073279</v>
      </c>
      <c r="AS78" s="116">
        <f>$U78/31*3*1000</f>
        <v>4.838709677419355</v>
      </c>
      <c r="AT78" s="116"/>
      <c r="AU78" s="116">
        <f>$W78/63*2*1000</f>
        <v>0.06349206349206349</v>
      </c>
      <c r="AV78" s="116">
        <f>$X78/65*2*1000</f>
        <v>0.06393846153846154</v>
      </c>
      <c r="AW78" s="95">
        <f t="shared" si="24"/>
        <v>0.7142857142857143</v>
      </c>
      <c r="AX78" s="95">
        <f t="shared" si="57"/>
        <v>-2.5942857142857143</v>
      </c>
      <c r="AY78" s="95"/>
      <c r="AZ78" s="95">
        <f t="shared" si="58"/>
        <v>3.3085714285714287</v>
      </c>
      <c r="BA78" s="113"/>
      <c r="BB78" s="113"/>
      <c r="BC78" s="116">
        <f t="shared" si="59"/>
        <v>224.528834209269</v>
      </c>
      <c r="BD78" s="116">
        <f t="shared" si="60"/>
        <v>125.34517857142856</v>
      </c>
      <c r="BE78" s="120">
        <f t="shared" si="61"/>
        <v>28.348391710935434</v>
      </c>
      <c r="BF78" s="117">
        <f>(('[1]setup'!$B$13*'[1]setup'!$B$14*'[1]setup'!$B$15)/10^(-R78))*10^6</f>
        <v>20.653506875990075</v>
      </c>
      <c r="BG78" s="118">
        <f t="shared" si="62"/>
        <v>4.692230100866568</v>
      </c>
      <c r="BH78" s="117">
        <f t="shared" si="63"/>
        <v>99.18365563784045</v>
      </c>
      <c r="BI78" s="117">
        <f t="shared" si="64"/>
        <v>225.10295067147632</v>
      </c>
      <c r="BJ78" s="117">
        <f t="shared" si="65"/>
        <v>150.6909155482852</v>
      </c>
      <c r="BK78" s="119">
        <f t="shared" si="66"/>
        <v>19.801290497827203</v>
      </c>
      <c r="BL78" s="113"/>
      <c r="BM78" s="116">
        <f>(3*('[1]setup'!$D$19*(10^-R78)^3)+2*('[1]setup'!$D$20*'[1]setup'!$D$19*((10^-R78)^2))+('[1]setup'!$D$21*'[1]setup'!$D$19*10^-R78)+('[1]setup'!$D$19*'[1]setup'!$D$22*(AP78/(10^6*2))*(10^-R78)^3))*10^6</f>
        <v>0.0007733755085825777</v>
      </c>
      <c r="BN78" s="95">
        <f t="shared" si="55"/>
        <v>79.10503859956626</v>
      </c>
      <c r="BO78" s="117">
        <f>(BN78/((('[1]setup'!$C$26)/10^-R78)+2*(('[1]setup'!$C$26*'[1]setup'!$C$27)/(10^-R78^2))+3*(('[1]setup'!$C$26*'[1]setup'!$C$27*'[1]setup'!$C$28)/(10^-R78^3))))/(10^-R78^3/(10^-R78^3+'[1]setup'!$C$26*10^-R78^2+'[1]setup'!$C$26*'[1]setup'!$C$27*10^-R78+'[1]setup'!$C$26*'[1]setup'!$C$27*'[1]setup'!$C$28))</f>
        <v>33.508291133975156</v>
      </c>
      <c r="BP78" s="113"/>
      <c r="BQ78" s="111">
        <f t="shared" si="67"/>
        <v>224.528834209269</v>
      </c>
      <c r="BR78" s="111">
        <f t="shared" si="68"/>
        <v>125.34517857142856</v>
      </c>
      <c r="BS78" s="111">
        <f t="shared" si="69"/>
        <v>1.7912841703864992</v>
      </c>
      <c r="BT78" s="111">
        <f t="shared" si="70"/>
        <v>98.46936992355472</v>
      </c>
      <c r="BU78" s="111">
        <f t="shared" si="71"/>
        <v>1.8215249976724703</v>
      </c>
    </row>
    <row r="79" spans="1:73" ht="12.75">
      <c r="A79" s="58">
        <v>40128</v>
      </c>
      <c r="B79" s="2" t="s">
        <v>37</v>
      </c>
      <c r="C79" s="60">
        <v>1003119</v>
      </c>
      <c r="D79" s="63"/>
      <c r="E79" s="61">
        <v>0.006</v>
      </c>
      <c r="F79" s="61">
        <v>0.002</v>
      </c>
      <c r="G79" s="61">
        <v>0.02</v>
      </c>
      <c r="H79" s="61">
        <v>1.878</v>
      </c>
      <c r="I79" s="61">
        <v>0.01</v>
      </c>
      <c r="J79" s="61">
        <v>0.04461</v>
      </c>
      <c r="K79" s="101">
        <v>0.005</v>
      </c>
      <c r="L79" s="61">
        <v>0.2146</v>
      </c>
      <c r="M79" s="61">
        <v>0.769</v>
      </c>
      <c r="N79" s="61">
        <v>0.4383</v>
      </c>
      <c r="O79" s="61">
        <v>3.519</v>
      </c>
      <c r="P79" s="61">
        <v>0.673</v>
      </c>
      <c r="Q79" s="61">
        <v>2.933</v>
      </c>
      <c r="R79" s="61">
        <v>6.505</v>
      </c>
      <c r="S79" s="61">
        <v>17.2</v>
      </c>
      <c r="T79" s="61">
        <v>23.1</v>
      </c>
      <c r="U79" s="61">
        <v>0.05</v>
      </c>
      <c r="V79" s="61"/>
      <c r="W79" s="61">
        <v>0.002</v>
      </c>
      <c r="X79" s="101">
        <v>0.002</v>
      </c>
      <c r="Y79" s="61">
        <v>0.5</v>
      </c>
      <c r="Z79" s="61">
        <v>0.1055</v>
      </c>
      <c r="AA79" s="62">
        <v>0.05089</v>
      </c>
      <c r="AB79" s="61"/>
      <c r="AC79" s="61"/>
      <c r="AE79" s="116">
        <f>$E79/56*2*1000</f>
        <v>0.2142857142857143</v>
      </c>
      <c r="AF79" s="116">
        <f>$F79/55*2*1000</f>
        <v>0.07272727272727272</v>
      </c>
      <c r="AG79" s="116">
        <f>$G79/27*3*1000</f>
        <v>2.2222222222222223</v>
      </c>
      <c r="AH79" s="116">
        <f>$H79/28*4*1000</f>
        <v>268.2857142857143</v>
      </c>
      <c r="AI79" s="116">
        <f>$I79/14*1*1000</f>
        <v>0.7142857142857143</v>
      </c>
      <c r="AJ79" s="116">
        <f>$J79/14*1*1000</f>
        <v>3.1864285714285714</v>
      </c>
      <c r="AK79" s="116">
        <f>$K79/31*3*1000</f>
        <v>0.4838709677419355</v>
      </c>
      <c r="AL79" s="116">
        <f>$L79/39*1*1000</f>
        <v>5.5025641025641026</v>
      </c>
      <c r="AM79" s="116">
        <f>$M79/40*2*1000</f>
        <v>38.449999999999996</v>
      </c>
      <c r="AN79" s="116">
        <f>$N79/24*2*1000</f>
        <v>36.525</v>
      </c>
      <c r="AO79" s="116">
        <f>$O79/23*1*1000</f>
        <v>153</v>
      </c>
      <c r="AP79" s="116">
        <f>$P79/32*2*1000</f>
        <v>42.0625</v>
      </c>
      <c r="AQ79" s="116">
        <f>$Q79/35*1*1000</f>
        <v>83.8</v>
      </c>
      <c r="AR79" s="95">
        <f t="shared" si="56"/>
        <v>0.31260793671239556</v>
      </c>
      <c r="AS79" s="116">
        <f>$U79/31*3*1000</f>
        <v>4.838709677419355</v>
      </c>
      <c r="AT79" s="116"/>
      <c r="AU79" s="116">
        <f>$W79/63*2*1000</f>
        <v>0.06349206349206349</v>
      </c>
      <c r="AV79" s="116">
        <f>$X79/65*2*1000</f>
        <v>0.061538461538461535</v>
      </c>
      <c r="AW79" s="95">
        <f t="shared" si="24"/>
        <v>7.535714285714286</v>
      </c>
      <c r="AX79" s="95">
        <f t="shared" si="57"/>
        <v>3.635</v>
      </c>
      <c r="AY79" s="95"/>
      <c r="AZ79" s="95">
        <f t="shared" si="58"/>
        <v>3.900714285714286</v>
      </c>
      <c r="BA79" s="113"/>
      <c r="BB79" s="113"/>
      <c r="BC79" s="116">
        <f t="shared" si="59"/>
        <v>234.1918498168498</v>
      </c>
      <c r="BD79" s="116">
        <f t="shared" si="60"/>
        <v>129.04892857142858</v>
      </c>
      <c r="BE79" s="120">
        <f t="shared" si="61"/>
        <v>28.945792295663175</v>
      </c>
      <c r="BF79" s="117">
        <f>(('[1]setup'!$B$13*'[1]setup'!$B$14*'[1]setup'!$B$15)/10^(-R79))*10^6</f>
        <v>37.930957302364575</v>
      </c>
      <c r="BG79" s="118">
        <f t="shared" si="62"/>
        <v>4.781823693857683</v>
      </c>
      <c r="BH79" s="117">
        <f t="shared" si="63"/>
        <v>105.14292124542123</v>
      </c>
      <c r="BI79" s="117">
        <f t="shared" si="64"/>
        <v>234.5044577535622</v>
      </c>
      <c r="BJ79" s="117">
        <f t="shared" si="65"/>
        <v>171.76170956765083</v>
      </c>
      <c r="BK79" s="119">
        <f t="shared" si="66"/>
        <v>15.443754177123989</v>
      </c>
      <c r="BL79" s="113"/>
      <c r="BM79" s="116">
        <f>(3*('[1]setup'!$D$19*(10^-R79)^3)+2*('[1]setup'!$D$20*'[1]setup'!$D$19*((10^-R79)^2))+('[1]setup'!$D$21*'[1]setup'!$D$19*10^-R79)+('[1]setup'!$D$19*'[1]setup'!$D$22*(AP79/(10^6*2))*(10^-R79)^3))*10^6</f>
        <v>0.00034648776432108925</v>
      </c>
      <c r="BN79" s="95">
        <f t="shared" si="55"/>
        <v>67.52491836753339</v>
      </c>
      <c r="BO79" s="117">
        <f>(BN79/((('[1]setup'!$C$26)/10^-R79)+2*(('[1]setup'!$C$26*'[1]setup'!$C$27)/(10^-R79^2))+3*(('[1]setup'!$C$26*'[1]setup'!$C$27*'[1]setup'!$C$28)/(10^-R79^3))))/(10^-R79^3/(10^-R79^3+'[1]setup'!$C$26*10^-R79^2+'[1]setup'!$C$26*'[1]setup'!$C$27*10^-R79+'[1]setup'!$C$26*'[1]setup'!$C$27*'[1]setup'!$C$28))</f>
        <v>26.810566676388763</v>
      </c>
      <c r="BP79" s="113"/>
      <c r="BQ79" s="111">
        <f t="shared" si="67"/>
        <v>234.1918498168498</v>
      </c>
      <c r="BR79" s="111">
        <f t="shared" si="68"/>
        <v>129.04892857142858</v>
      </c>
      <c r="BS79" s="111">
        <f t="shared" si="69"/>
        <v>1.8147523765547935</v>
      </c>
      <c r="BT79" s="111">
        <f t="shared" si="70"/>
        <v>104.42863553113551</v>
      </c>
      <c r="BU79" s="111">
        <f t="shared" si="71"/>
        <v>1.8257756563245824</v>
      </c>
    </row>
    <row r="80" spans="1:73" ht="12.75">
      <c r="A80" s="94">
        <v>40226</v>
      </c>
      <c r="B80" s="2" t="s">
        <v>37</v>
      </c>
      <c r="C80" s="65"/>
      <c r="K80" s="99"/>
      <c r="AB80" s="70"/>
      <c r="AC80" s="35"/>
      <c r="AD80" s="62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95"/>
      <c r="AS80" s="116"/>
      <c r="AT80" s="116"/>
      <c r="AU80" s="116"/>
      <c r="AV80" s="116"/>
      <c r="AW80" s="95"/>
      <c r="AX80" s="95"/>
      <c r="AY80" s="95"/>
      <c r="AZ80" s="95"/>
      <c r="BA80" s="113"/>
      <c r="BB80" s="113"/>
      <c r="BC80" s="116"/>
      <c r="BD80" s="116"/>
      <c r="BE80" s="120"/>
      <c r="BF80" s="117"/>
      <c r="BG80" s="118"/>
      <c r="BH80" s="117"/>
      <c r="BI80" s="117"/>
      <c r="BJ80" s="117"/>
      <c r="BK80" s="119"/>
      <c r="BL80" s="113"/>
      <c r="BM80" s="116"/>
      <c r="BN80" s="95"/>
      <c r="BO80" s="117"/>
      <c r="BP80" s="113"/>
      <c r="BQ80" s="111"/>
      <c r="BR80" s="111"/>
      <c r="BS80" s="111"/>
      <c r="BT80" s="111"/>
      <c r="BU80" s="111"/>
    </row>
    <row r="81" spans="1:73" ht="12.75">
      <c r="A81" s="94">
        <v>40267</v>
      </c>
      <c r="B81" s="2" t="s">
        <v>37</v>
      </c>
      <c r="C81" s="59"/>
      <c r="K81" s="99"/>
      <c r="R81" s="63"/>
      <c r="S81" s="63"/>
      <c r="T81" s="46"/>
      <c r="Z81" s="71"/>
      <c r="AC81" s="71"/>
      <c r="AD81" s="71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95"/>
      <c r="AS81" s="116"/>
      <c r="AT81" s="116"/>
      <c r="AU81" s="116"/>
      <c r="AV81" s="116"/>
      <c r="AW81" s="95"/>
      <c r="AX81" s="95"/>
      <c r="AY81" s="95"/>
      <c r="AZ81" s="95"/>
      <c r="BA81" s="113"/>
      <c r="BB81" s="113"/>
      <c r="BC81" s="116"/>
      <c r="BD81" s="116"/>
      <c r="BE81" s="120"/>
      <c r="BF81" s="117"/>
      <c r="BG81" s="118"/>
      <c r="BH81" s="117"/>
      <c r="BI81" s="117"/>
      <c r="BJ81" s="117"/>
      <c r="BK81" s="119"/>
      <c r="BL81" s="113"/>
      <c r="BM81" s="116"/>
      <c r="BN81" s="95"/>
      <c r="BO81" s="117"/>
      <c r="BP81" s="113"/>
      <c r="BQ81" s="111"/>
      <c r="BR81" s="111"/>
      <c r="BS81" s="111"/>
      <c r="BT81" s="111"/>
      <c r="BU81" s="111"/>
    </row>
    <row r="82" spans="1:73" ht="12.75">
      <c r="A82" s="94">
        <v>40281</v>
      </c>
      <c r="B82" s="2" t="s">
        <v>37</v>
      </c>
      <c r="C82" s="60"/>
      <c r="K82" s="99"/>
      <c r="R82" s="71"/>
      <c r="S82" s="71"/>
      <c r="T82" s="71"/>
      <c r="AB82" s="2"/>
      <c r="AC82" s="62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95"/>
      <c r="AS82" s="116"/>
      <c r="AT82" s="116"/>
      <c r="AU82" s="116"/>
      <c r="AV82" s="116"/>
      <c r="AW82" s="95"/>
      <c r="AX82" s="95"/>
      <c r="AY82" s="95"/>
      <c r="AZ82" s="95"/>
      <c r="BA82" s="113"/>
      <c r="BB82" s="113"/>
      <c r="BC82" s="116"/>
      <c r="BD82" s="116"/>
      <c r="BE82" s="120"/>
      <c r="BF82" s="117"/>
      <c r="BG82" s="118"/>
      <c r="BH82" s="117"/>
      <c r="BI82" s="117"/>
      <c r="BJ82" s="117"/>
      <c r="BK82" s="119"/>
      <c r="BL82" s="113"/>
      <c r="BM82" s="116"/>
      <c r="BN82" s="95"/>
      <c r="BO82" s="117"/>
      <c r="BP82" s="113"/>
      <c r="BQ82" s="111"/>
      <c r="BR82" s="111"/>
      <c r="BS82" s="111"/>
      <c r="BT82" s="111"/>
      <c r="BU82" s="111"/>
    </row>
    <row r="83" spans="1:73" ht="12.75">
      <c r="A83" s="94">
        <v>40295</v>
      </c>
      <c r="B83" s="2" t="s">
        <v>37</v>
      </c>
      <c r="C83" s="60">
        <v>1021689</v>
      </c>
      <c r="E83" s="2">
        <v>0.006</v>
      </c>
      <c r="F83" s="72">
        <v>0.002031</v>
      </c>
      <c r="G83" s="73">
        <v>0.04299</v>
      </c>
      <c r="H83" s="73">
        <v>0.3449</v>
      </c>
      <c r="I83" s="74">
        <v>0.01</v>
      </c>
      <c r="J83" s="75">
        <v>0.025</v>
      </c>
      <c r="K83" s="98">
        <v>0.005</v>
      </c>
      <c r="L83" s="2">
        <v>0.1</v>
      </c>
      <c r="M83" s="76">
        <v>0.1936</v>
      </c>
      <c r="N83" s="72">
        <v>0.1278</v>
      </c>
      <c r="O83" s="76">
        <v>0.9235</v>
      </c>
      <c r="P83" s="75">
        <v>0.1288</v>
      </c>
      <c r="Q83" s="75">
        <v>0.7557</v>
      </c>
      <c r="R83" s="77">
        <v>5.949</v>
      </c>
      <c r="S83" s="63">
        <v>18.4</v>
      </c>
      <c r="T83" s="77">
        <v>8.27</v>
      </c>
      <c r="U83" s="2">
        <v>0.05</v>
      </c>
      <c r="W83" s="2">
        <v>0.002</v>
      </c>
      <c r="X83" s="101">
        <v>0.002</v>
      </c>
      <c r="Y83" s="78">
        <v>2.192</v>
      </c>
      <c r="Z83" s="78">
        <v>0.1042</v>
      </c>
      <c r="AA83" s="73">
        <v>0.0692</v>
      </c>
      <c r="AC83" s="35"/>
      <c r="AD83" s="75" t="s">
        <v>63</v>
      </c>
      <c r="AE83" s="116">
        <f aca="true" t="shared" si="72" ref="AE83:AE98">$E83/56*2*1000</f>
        <v>0.2142857142857143</v>
      </c>
      <c r="AF83" s="116">
        <f aca="true" t="shared" si="73" ref="AF83:AF98">$F83/55*2*1000</f>
        <v>0.07385454545454545</v>
      </c>
      <c r="AG83" s="116">
        <f aca="true" t="shared" si="74" ref="AG83:AG98">$G83/27*3*1000</f>
        <v>4.776666666666667</v>
      </c>
      <c r="AH83" s="116">
        <f aca="true" t="shared" si="75" ref="AH83:AH98">$H83/28*4*1000</f>
        <v>49.27142857142857</v>
      </c>
      <c r="AI83" s="116">
        <f aca="true" t="shared" si="76" ref="AI83:AI98">$I83/14*1*1000</f>
        <v>0.7142857142857143</v>
      </c>
      <c r="AJ83" s="116">
        <f aca="true" t="shared" si="77" ref="AJ83:AJ98">$J83/14*1*1000</f>
        <v>1.7857142857142858</v>
      </c>
      <c r="AK83" s="116">
        <f aca="true" t="shared" si="78" ref="AK83:AK98">$K83/31*3*1000</f>
        <v>0.4838709677419355</v>
      </c>
      <c r="AL83" s="116">
        <f aca="true" t="shared" si="79" ref="AL83:AL98">$L83/39*1*1000</f>
        <v>2.5641025641025643</v>
      </c>
      <c r="AM83" s="116">
        <f aca="true" t="shared" si="80" ref="AM83:AM98">$M83/40*2*1000</f>
        <v>9.68</v>
      </c>
      <c r="AN83" s="116">
        <f aca="true" t="shared" si="81" ref="AN83:AN98">$N83/24*2*1000</f>
        <v>10.65</v>
      </c>
      <c r="AO83" s="116">
        <f aca="true" t="shared" si="82" ref="AO83:AO98">$O83/23*1*1000</f>
        <v>40.152173913043484</v>
      </c>
      <c r="AP83" s="116">
        <f aca="true" t="shared" si="83" ref="AP83:AP98">$P83/32*2*1000</f>
        <v>8.05</v>
      </c>
      <c r="AQ83" s="116">
        <f aca="true" t="shared" si="84" ref="AQ83:AQ98">$Q83/35*1*1000</f>
        <v>21.591428571428573</v>
      </c>
      <c r="AR83" s="95">
        <f aca="true" t="shared" si="85" ref="AR83:AR98">SUM(10^(6-R83))</f>
        <v>1.1246049739669268</v>
      </c>
      <c r="AS83" s="116">
        <f aca="true" t="shared" si="86" ref="AS83:AS98">$U83/31*3*1000</f>
        <v>4.838709677419355</v>
      </c>
      <c r="AT83" s="116"/>
      <c r="AU83" s="116">
        <f aca="true" t="shared" si="87" ref="AU83:AU98">$W83/63*2*1000</f>
        <v>0.06349206349206349</v>
      </c>
      <c r="AV83" s="116">
        <f aca="true" t="shared" si="88" ref="AV83:AV98">$X83/65*2*1000</f>
        <v>0.061538461538461535</v>
      </c>
      <c r="AW83" s="95">
        <f aca="true" t="shared" si="89" ref="AW83:AW98">$Z83/14*1*1000</f>
        <v>7.442857142857142</v>
      </c>
      <c r="AX83" s="95">
        <f aca="true" t="shared" si="90" ref="AX83:AX98">AW83-(AI83+AJ83)</f>
        <v>4.942857142857142</v>
      </c>
      <c r="AY83" s="95"/>
      <c r="AZ83" s="95">
        <f aca="true" t="shared" si="91" ref="AZ83:AZ98">AI83+AJ83</f>
        <v>2.5</v>
      </c>
      <c r="BA83" s="113"/>
      <c r="BB83" s="113"/>
      <c r="BC83" s="116">
        <f aca="true" t="shared" si="92" ref="BC83:BC98">AL83+AM83+AN83+AO83+AI83</f>
        <v>63.76056219143177</v>
      </c>
      <c r="BD83" s="116">
        <f aca="true" t="shared" si="93" ref="BD83:BD98">AJ83+AP83+AQ83</f>
        <v>31.42714285714286</v>
      </c>
      <c r="BE83" s="120">
        <f aca="true" t="shared" si="94" ref="BE83:BE98">ABS(BC83-BD83)/(BC83+BD83)*100</f>
        <v>33.9680627007333</v>
      </c>
      <c r="BF83" s="117">
        <f>(('[1]setup'!$B$13*'[1]setup'!$B$14*'[1]setup'!$B$15)/10^(-R83))*10^6</f>
        <v>10.54371852721938</v>
      </c>
      <c r="BG83" s="118">
        <f aca="true" t="shared" si="95" ref="BG83:BG98">((10^-(0.96+0.9*R83-0.039*R83^2))*Y83*10)/((10^-(0.96+0.9*R83-0.039*R83^2))+10^(-R83))</f>
        <v>19.98950532556989</v>
      </c>
      <c r="BH83" s="117">
        <f aca="true" t="shared" si="96" ref="BH83:BH98">(AM83+AN83+AO83+AL83+AI83)-(AP83+AQ83+AJ83)</f>
        <v>32.333419334288905</v>
      </c>
      <c r="BI83" s="117">
        <f aca="true" t="shared" si="97" ref="BI83:BI98">(AM83+AN83+AO83+AL83+AI83)+((10^-R83)*10^6)</f>
        <v>64.88516716539868</v>
      </c>
      <c r="BJ83" s="117">
        <f aca="true" t="shared" si="98" ref="BJ83:BJ98">(AP83+AQ83+AJ83+BG83+BF83)</f>
        <v>61.96036670993213</v>
      </c>
      <c r="BK83" s="119">
        <f aca="true" t="shared" si="99" ref="BK83:BK98">ABS(BI83-BJ83)/(BI83+BJ83)*100</f>
        <v>2.30579695327797</v>
      </c>
      <c r="BL83" s="113"/>
      <c r="BM83" s="116">
        <f>(3*('[1]setup'!$D$19*(10^-R83)^3)+2*('[1]setup'!$D$20*'[1]setup'!$D$19*((10^-R83)^2))+('[1]setup'!$D$21*'[1]setup'!$D$19*10^-R83)+('[1]setup'!$D$19*'[1]setup'!$D$22*(AP83/(10^6*2))*(10^-R83)^3))*10^6</f>
        <v>0.002229638373194747</v>
      </c>
      <c r="BN83" s="95">
        <f aca="true" t="shared" si="100" ref="BN83:BN98">(AM83+AN83+AO83+AL83+AI83+(10^-R83)*10^6+BM83)-(AP83+AQ83+AJ83+BF83)</f>
        <v>22.91653541940964</v>
      </c>
      <c r="BO83" s="117">
        <f>(BN83/((('[1]setup'!$C$26)/10^-R83)+2*(('[1]setup'!$C$26*'[1]setup'!$C$27)/(10^-R83^2))+3*(('[1]setup'!$C$26*'[1]setup'!$C$27*'[1]setup'!$C$28)/(10^-R83^3))))/(10^-R83^3/(10^-R83^3+'[1]setup'!$C$26*10^-R83^2+'[1]setup'!$C$26*'[1]setup'!$C$27*10^-R83+'[1]setup'!$C$26*'[1]setup'!$C$27*'[1]setup'!$C$28))</f>
        <v>10.406453653844508</v>
      </c>
      <c r="BP83" s="113"/>
      <c r="BQ83" s="111">
        <f t="shared" si="67"/>
        <v>63.76056219143176</v>
      </c>
      <c r="BR83" s="111">
        <f t="shared" si="68"/>
        <v>31.42714285714286</v>
      </c>
      <c r="BS83" s="111">
        <f t="shared" si="69"/>
        <v>2.0288373805173974</v>
      </c>
      <c r="BT83" s="111">
        <f t="shared" si="70"/>
        <v>31.61913362000319</v>
      </c>
      <c r="BU83" s="111">
        <f t="shared" si="71"/>
        <v>1.8596348907721607</v>
      </c>
    </row>
    <row r="84" spans="1:73" ht="12.75">
      <c r="A84" s="94">
        <v>40309</v>
      </c>
      <c r="B84" s="2" t="s">
        <v>37</v>
      </c>
      <c r="C84" s="60"/>
      <c r="E84" s="63"/>
      <c r="K84" s="99"/>
      <c r="S84" s="71"/>
      <c r="T84" s="71"/>
      <c r="U84" s="71"/>
      <c r="X84" s="106"/>
      <c r="AA84" s="73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95"/>
      <c r="AS84" s="116"/>
      <c r="AT84" s="116"/>
      <c r="AU84" s="116"/>
      <c r="AV84" s="116"/>
      <c r="AW84" s="95"/>
      <c r="AX84" s="95"/>
      <c r="AY84" s="95"/>
      <c r="AZ84" s="95"/>
      <c r="BA84" s="113"/>
      <c r="BB84" s="113"/>
      <c r="BC84" s="116"/>
      <c r="BD84" s="116"/>
      <c r="BE84" s="120"/>
      <c r="BF84" s="117"/>
      <c r="BG84" s="118"/>
      <c r="BH84" s="117"/>
      <c r="BI84" s="117"/>
      <c r="BJ84" s="117"/>
      <c r="BK84" s="119"/>
      <c r="BL84" s="113"/>
      <c r="BM84" s="116"/>
      <c r="BN84" s="95"/>
      <c r="BO84" s="117"/>
      <c r="BP84" s="113"/>
      <c r="BQ84" s="111"/>
      <c r="BR84" s="111"/>
      <c r="BS84" s="111"/>
      <c r="BT84" s="111"/>
      <c r="BU84" s="111"/>
    </row>
    <row r="85" spans="1:73" ht="12.75">
      <c r="A85" s="94">
        <v>40323</v>
      </c>
      <c r="B85" s="2" t="s">
        <v>37</v>
      </c>
      <c r="C85" s="60">
        <v>1024023</v>
      </c>
      <c r="E85" s="79">
        <v>0.006</v>
      </c>
      <c r="F85" s="80">
        <v>0.002</v>
      </c>
      <c r="G85" s="81">
        <v>0.02551</v>
      </c>
      <c r="H85" s="81">
        <v>1.379</v>
      </c>
      <c r="I85" s="82">
        <v>0.013</v>
      </c>
      <c r="J85" s="83">
        <v>0.03408</v>
      </c>
      <c r="K85" s="100">
        <v>0.005</v>
      </c>
      <c r="L85" s="84">
        <v>0.3022</v>
      </c>
      <c r="M85" s="85">
        <v>0.3852</v>
      </c>
      <c r="N85" s="80">
        <v>0.2461</v>
      </c>
      <c r="O85" s="85">
        <v>2.107</v>
      </c>
      <c r="P85" s="83">
        <v>0.3833</v>
      </c>
      <c r="Q85" s="83">
        <v>1.85</v>
      </c>
      <c r="R85" s="86">
        <v>6.167</v>
      </c>
      <c r="S85" s="87">
        <v>16.2</v>
      </c>
      <c r="T85" s="86">
        <v>16.13</v>
      </c>
      <c r="U85" s="79">
        <v>0.05</v>
      </c>
      <c r="V85" s="88"/>
      <c r="W85" s="80">
        <v>0.002</v>
      </c>
      <c r="X85" s="107">
        <v>0.002494</v>
      </c>
      <c r="Y85" s="84">
        <v>1.422</v>
      </c>
      <c r="Z85" s="84">
        <v>0.2164</v>
      </c>
      <c r="AA85" s="73">
        <v>0.16932000000000003</v>
      </c>
      <c r="AB85" s="2"/>
      <c r="AC85" s="35"/>
      <c r="AD85" s="89" t="s">
        <v>63</v>
      </c>
      <c r="AE85" s="116">
        <f t="shared" si="72"/>
        <v>0.2142857142857143</v>
      </c>
      <c r="AF85" s="116">
        <f t="shared" si="73"/>
        <v>0.07272727272727272</v>
      </c>
      <c r="AG85" s="116">
        <f t="shared" si="74"/>
        <v>2.8344444444444448</v>
      </c>
      <c r="AH85" s="116">
        <f t="shared" si="75"/>
        <v>197</v>
      </c>
      <c r="AI85" s="116">
        <f t="shared" si="76"/>
        <v>0.9285714285714286</v>
      </c>
      <c r="AJ85" s="116">
        <f t="shared" si="77"/>
        <v>2.434285714285714</v>
      </c>
      <c r="AK85" s="116">
        <f t="shared" si="78"/>
        <v>0.4838709677419355</v>
      </c>
      <c r="AL85" s="116">
        <f t="shared" si="79"/>
        <v>7.74871794871795</v>
      </c>
      <c r="AM85" s="116">
        <f t="shared" si="80"/>
        <v>19.259999999999998</v>
      </c>
      <c r="AN85" s="116">
        <f t="shared" si="81"/>
        <v>20.508333333333333</v>
      </c>
      <c r="AO85" s="116">
        <f t="shared" si="82"/>
        <v>91.60869565217392</v>
      </c>
      <c r="AP85" s="116">
        <f t="shared" si="83"/>
        <v>23.956249999999997</v>
      </c>
      <c r="AQ85" s="116">
        <f t="shared" si="84"/>
        <v>52.85714285714286</v>
      </c>
      <c r="AR85" s="95">
        <f t="shared" si="85"/>
        <v>0.6807693586937417</v>
      </c>
      <c r="AS85" s="116">
        <f t="shared" si="86"/>
        <v>4.838709677419355</v>
      </c>
      <c r="AT85" s="116"/>
      <c r="AU85" s="116">
        <f t="shared" si="87"/>
        <v>0.06349206349206349</v>
      </c>
      <c r="AV85" s="116">
        <f t="shared" si="88"/>
        <v>0.07673846153846153</v>
      </c>
      <c r="AW85" s="95">
        <f t="shared" si="89"/>
        <v>15.457142857142859</v>
      </c>
      <c r="AX85" s="95">
        <f t="shared" si="90"/>
        <v>12.094285714285716</v>
      </c>
      <c r="AY85" s="95"/>
      <c r="AZ85" s="95">
        <f t="shared" si="91"/>
        <v>3.362857142857143</v>
      </c>
      <c r="BA85" s="113"/>
      <c r="BB85" s="113"/>
      <c r="BC85" s="116">
        <f t="shared" si="92"/>
        <v>140.05431836279664</v>
      </c>
      <c r="BD85" s="116">
        <f t="shared" si="93"/>
        <v>79.24767857142857</v>
      </c>
      <c r="BE85" s="120">
        <f t="shared" si="94"/>
        <v>27.727353440199487</v>
      </c>
      <c r="BF85" s="117">
        <f>(('[1]setup'!$B$13*'[1]setup'!$B$14*'[1]setup'!$B$15)/10^(-R85))*10^6</f>
        <v>17.41782021824591</v>
      </c>
      <c r="BG85" s="118">
        <f t="shared" si="95"/>
        <v>13.259322409971048</v>
      </c>
      <c r="BH85" s="117">
        <f t="shared" si="96"/>
        <v>60.80663979136804</v>
      </c>
      <c r="BI85" s="117">
        <f t="shared" si="97"/>
        <v>140.73508772149034</v>
      </c>
      <c r="BJ85" s="117">
        <f t="shared" si="98"/>
        <v>109.92482119964552</v>
      </c>
      <c r="BK85" s="119">
        <f t="shared" si="99"/>
        <v>12.291661101472169</v>
      </c>
      <c r="BL85" s="113"/>
      <c r="BM85" s="116">
        <f>(3*('[1]setup'!$D$19*(10^-R85)^3)+2*('[1]setup'!$D$20*'[1]setup'!$D$19*((10^-R85)^2))+('[1]setup'!$D$21*'[1]setup'!$D$19*10^-R85)+('[1]setup'!$D$19*'[1]setup'!$D$22*(AP85/(10^6*2))*(10^-R85)^3))*10^6</f>
        <v>0.0009911362758150614</v>
      </c>
      <c r="BN85" s="95">
        <f t="shared" si="100"/>
        <v>44.07058006809169</v>
      </c>
      <c r="BO85" s="117">
        <f>(BN85/((('[1]setup'!$C$26)/10^-R85)+2*(('[1]setup'!$C$26*'[1]setup'!$C$27)/(10^-R85^2))+3*(('[1]setup'!$C$26*'[1]setup'!$C$27*'[1]setup'!$C$28)/(10^-R85^3))))/(10^-R85^3/(10^-R85^3+'[1]setup'!$C$26*10^-R85^2+'[1]setup'!$C$26*'[1]setup'!$C$27*10^-R85+'[1]setup'!$C$26*'[1]setup'!$C$27*'[1]setup'!$C$28))</f>
        <v>19.01077133610515</v>
      </c>
      <c r="BP85" s="113"/>
      <c r="BQ85" s="111">
        <f t="shared" si="67"/>
        <v>140.05431836279664</v>
      </c>
      <c r="BR85" s="111">
        <f t="shared" si="68"/>
        <v>79.24767857142857</v>
      </c>
      <c r="BS85" s="111">
        <f t="shared" si="69"/>
        <v>1.7672986879553958</v>
      </c>
      <c r="BT85" s="111">
        <f t="shared" si="70"/>
        <v>59.878068362796654</v>
      </c>
      <c r="BU85" s="111">
        <f t="shared" si="71"/>
        <v>1.7331374853113983</v>
      </c>
    </row>
    <row r="86" spans="1:73" ht="12.75">
      <c r="A86" s="94">
        <v>40337</v>
      </c>
      <c r="B86" s="2" t="s">
        <v>37</v>
      </c>
      <c r="C86" s="60">
        <v>1026805</v>
      </c>
      <c r="E86" s="76">
        <v>0.03093</v>
      </c>
      <c r="F86" s="72">
        <v>0.002</v>
      </c>
      <c r="G86" s="73">
        <v>0.144</v>
      </c>
      <c r="H86" s="73">
        <v>1.617</v>
      </c>
      <c r="I86" s="74">
        <v>0.01</v>
      </c>
      <c r="J86" s="75">
        <v>0.02747</v>
      </c>
      <c r="K86" s="98">
        <v>0.005</v>
      </c>
      <c r="L86" s="78">
        <v>0.2903</v>
      </c>
      <c r="M86" s="76">
        <v>0.5544</v>
      </c>
      <c r="N86" s="72">
        <v>0.3366</v>
      </c>
      <c r="O86" s="76">
        <v>2.513</v>
      </c>
      <c r="P86" s="75">
        <v>0.5006</v>
      </c>
      <c r="Q86" s="75">
        <v>2.304</v>
      </c>
      <c r="R86" s="86">
        <v>5.977</v>
      </c>
      <c r="S86" s="2">
        <v>16.2</v>
      </c>
      <c r="T86" s="86">
        <v>19.25</v>
      </c>
      <c r="U86" s="2">
        <v>0.05</v>
      </c>
      <c r="W86" s="72">
        <v>0.002</v>
      </c>
      <c r="X86" s="101">
        <v>0.002</v>
      </c>
      <c r="Y86" s="78">
        <v>3.749</v>
      </c>
      <c r="Z86" s="78">
        <v>0.2128</v>
      </c>
      <c r="AA86" s="73">
        <v>0.17532999999999999</v>
      </c>
      <c r="AB86" s="71"/>
      <c r="AD86" s="91" t="s">
        <v>63</v>
      </c>
      <c r="AE86" s="116">
        <f t="shared" si="72"/>
        <v>1.1046428571428573</v>
      </c>
      <c r="AF86" s="116">
        <f t="shared" si="73"/>
        <v>0.07272727272727272</v>
      </c>
      <c r="AG86" s="116">
        <f t="shared" si="74"/>
        <v>16</v>
      </c>
      <c r="AH86" s="116">
        <f t="shared" si="75"/>
        <v>231</v>
      </c>
      <c r="AI86" s="116">
        <f t="shared" si="76"/>
        <v>0.7142857142857143</v>
      </c>
      <c r="AJ86" s="116">
        <f t="shared" si="77"/>
        <v>1.9621428571428572</v>
      </c>
      <c r="AK86" s="116">
        <f t="shared" si="78"/>
        <v>0.4838709677419355</v>
      </c>
      <c r="AL86" s="116">
        <f t="shared" si="79"/>
        <v>7.443589743589744</v>
      </c>
      <c r="AM86" s="116">
        <f t="shared" si="80"/>
        <v>27.720000000000002</v>
      </c>
      <c r="AN86" s="116">
        <f t="shared" si="81"/>
        <v>28.05</v>
      </c>
      <c r="AO86" s="116">
        <f t="shared" si="82"/>
        <v>109.26086956521738</v>
      </c>
      <c r="AP86" s="116">
        <f t="shared" si="83"/>
        <v>31.2875</v>
      </c>
      <c r="AQ86" s="116">
        <f t="shared" si="84"/>
        <v>65.82857142857142</v>
      </c>
      <c r="AR86" s="95">
        <f t="shared" si="85"/>
        <v>1.0543868963912582</v>
      </c>
      <c r="AS86" s="116">
        <f t="shared" si="86"/>
        <v>4.838709677419355</v>
      </c>
      <c r="AT86" s="116"/>
      <c r="AU86" s="116">
        <f t="shared" si="87"/>
        <v>0.06349206349206349</v>
      </c>
      <c r="AV86" s="116">
        <f t="shared" si="88"/>
        <v>0.061538461538461535</v>
      </c>
      <c r="AW86" s="95">
        <f t="shared" si="89"/>
        <v>15.2</v>
      </c>
      <c r="AX86" s="95">
        <f t="shared" si="90"/>
        <v>12.523571428571428</v>
      </c>
      <c r="AY86" s="95"/>
      <c r="AZ86" s="95">
        <f t="shared" si="91"/>
        <v>2.6764285714285716</v>
      </c>
      <c r="BA86" s="113"/>
      <c r="BB86" s="113"/>
      <c r="BC86" s="116">
        <f t="shared" si="92"/>
        <v>173.18874502309285</v>
      </c>
      <c r="BD86" s="116">
        <f t="shared" si="93"/>
        <v>99.07821428571428</v>
      </c>
      <c r="BE86" s="120">
        <f t="shared" si="94"/>
        <v>27.21980328627458</v>
      </c>
      <c r="BF86" s="117">
        <f>(('[1]setup'!$B$13*'[1]setup'!$B$14*'[1]setup'!$B$15)/10^(-R86))*10^6</f>
        <v>11.245889284475798</v>
      </c>
      <c r="BG86" s="118">
        <f t="shared" si="95"/>
        <v>34.29632341010864</v>
      </c>
      <c r="BH86" s="117">
        <f t="shared" si="96"/>
        <v>74.11053073737858</v>
      </c>
      <c r="BI86" s="117">
        <f t="shared" si="97"/>
        <v>174.2431319194841</v>
      </c>
      <c r="BJ86" s="117">
        <f t="shared" si="98"/>
        <v>144.6204269802987</v>
      </c>
      <c r="BK86" s="119">
        <f t="shared" si="99"/>
        <v>9.290087911392748</v>
      </c>
      <c r="BL86" s="113"/>
      <c r="BM86" s="116">
        <f>(3*('[1]setup'!$D$19*(10^-R86)^3)+2*('[1]setup'!$D$20*'[1]setup'!$D$19*((10^-R86)^2))+('[1]setup'!$D$21*'[1]setup'!$D$19*10^-R86)+('[1]setup'!$D$19*'[1]setup'!$D$22*(AP86/(10^6*2))*(10^-R86)^3))*10^6</f>
        <v>0.001995338499006481</v>
      </c>
      <c r="BN86" s="95">
        <f t="shared" si="100"/>
        <v>63.92102368779305</v>
      </c>
      <c r="BO86" s="117">
        <f>(BN86/((('[1]setup'!$C$26)/10^-R86)+2*(('[1]setup'!$C$26*'[1]setup'!$C$27)/(10^-R86^2))+3*(('[1]setup'!$C$26*'[1]setup'!$C$27*'[1]setup'!$C$28)/(10^-R86^3))))/(10^-R86^3/(10^-R86^3+'[1]setup'!$C$26*10^-R86^2+'[1]setup'!$C$26*'[1]setup'!$C$27*10^-R86+'[1]setup'!$C$26*'[1]setup'!$C$27*'[1]setup'!$C$28))</f>
        <v>28.842904829779307</v>
      </c>
      <c r="BP86" s="113"/>
      <c r="BQ86" s="111">
        <f t="shared" si="67"/>
        <v>173.18874502309285</v>
      </c>
      <c r="BR86" s="111">
        <f t="shared" si="68"/>
        <v>99.07821428571428</v>
      </c>
      <c r="BS86" s="111">
        <f t="shared" si="69"/>
        <v>1.7480002669776042</v>
      </c>
      <c r="BT86" s="111">
        <f t="shared" si="70"/>
        <v>73.39624502309285</v>
      </c>
      <c r="BU86" s="111">
        <f t="shared" si="71"/>
        <v>1.6597788345410627</v>
      </c>
    </row>
    <row r="87" spans="1:73" ht="12.75">
      <c r="A87" s="94">
        <v>40364</v>
      </c>
      <c r="B87" s="2" t="s">
        <v>37</v>
      </c>
      <c r="C87" s="60">
        <v>1030517</v>
      </c>
      <c r="E87" s="76">
        <v>0.03098</v>
      </c>
      <c r="F87" s="72">
        <v>0.002</v>
      </c>
      <c r="G87" s="2">
        <v>0.02</v>
      </c>
      <c r="H87" s="73">
        <v>2.278</v>
      </c>
      <c r="I87" s="74">
        <v>0.01</v>
      </c>
      <c r="J87" s="75">
        <v>0.05033</v>
      </c>
      <c r="K87" s="98">
        <v>0.005</v>
      </c>
      <c r="L87" s="78">
        <v>0.2825</v>
      </c>
      <c r="M87" s="76">
        <v>0.8525</v>
      </c>
      <c r="N87" s="72">
        <v>0.474</v>
      </c>
      <c r="O87" s="76">
        <v>3.639</v>
      </c>
      <c r="P87" s="75">
        <v>0.6865</v>
      </c>
      <c r="Q87" s="75">
        <v>2.955</v>
      </c>
      <c r="R87" s="86">
        <v>6.214</v>
      </c>
      <c r="S87" s="2">
        <v>16.5</v>
      </c>
      <c r="T87" s="86">
        <v>23.47</v>
      </c>
      <c r="U87" s="2">
        <v>0.05</v>
      </c>
      <c r="W87" s="72">
        <v>0.002</v>
      </c>
      <c r="X87" s="101">
        <v>0.002</v>
      </c>
      <c r="Y87" s="78">
        <v>0.5</v>
      </c>
      <c r="Z87" s="78">
        <v>0.1544</v>
      </c>
      <c r="AA87" s="73">
        <v>0.09407000000000001</v>
      </c>
      <c r="AB87" s="71"/>
      <c r="AD87" s="75">
        <v>0.04254</v>
      </c>
      <c r="AE87" s="116">
        <f t="shared" si="72"/>
        <v>1.1064285714285713</v>
      </c>
      <c r="AF87" s="116">
        <f t="shared" si="73"/>
        <v>0.07272727272727272</v>
      </c>
      <c r="AG87" s="116">
        <f t="shared" si="74"/>
        <v>2.2222222222222223</v>
      </c>
      <c r="AH87" s="116">
        <f t="shared" si="75"/>
        <v>325.42857142857144</v>
      </c>
      <c r="AI87" s="116">
        <f t="shared" si="76"/>
        <v>0.7142857142857143</v>
      </c>
      <c r="AJ87" s="116">
        <f t="shared" si="77"/>
        <v>3.595</v>
      </c>
      <c r="AK87" s="116">
        <f t="shared" si="78"/>
        <v>0.4838709677419355</v>
      </c>
      <c r="AL87" s="116">
        <f t="shared" si="79"/>
        <v>7.243589743589743</v>
      </c>
      <c r="AM87" s="116">
        <f t="shared" si="80"/>
        <v>42.625</v>
      </c>
      <c r="AN87" s="116">
        <f t="shared" si="81"/>
        <v>39.5</v>
      </c>
      <c r="AO87" s="116">
        <f t="shared" si="82"/>
        <v>158.2173913043478</v>
      </c>
      <c r="AP87" s="116">
        <f t="shared" si="83"/>
        <v>42.90625</v>
      </c>
      <c r="AQ87" s="116">
        <f t="shared" si="84"/>
        <v>84.42857142857143</v>
      </c>
      <c r="AR87" s="95">
        <f t="shared" si="85"/>
        <v>0.6109420249055714</v>
      </c>
      <c r="AS87" s="116">
        <f t="shared" si="86"/>
        <v>4.838709677419355</v>
      </c>
      <c r="AT87" s="116"/>
      <c r="AU87" s="116">
        <f t="shared" si="87"/>
        <v>0.06349206349206349</v>
      </c>
      <c r="AV87" s="116">
        <f t="shared" si="88"/>
        <v>0.061538461538461535</v>
      </c>
      <c r="AW87" s="95">
        <f t="shared" si="89"/>
        <v>11.028571428571428</v>
      </c>
      <c r="AX87" s="95">
        <f t="shared" si="90"/>
        <v>6.719285714285714</v>
      </c>
      <c r="AY87" s="95"/>
      <c r="AZ87" s="95">
        <f t="shared" si="91"/>
        <v>4.309285714285714</v>
      </c>
      <c r="BA87" s="113"/>
      <c r="BB87" s="113"/>
      <c r="BC87" s="116">
        <f t="shared" si="92"/>
        <v>248.3002667622233</v>
      </c>
      <c r="BD87" s="116">
        <f t="shared" si="93"/>
        <v>130.92982142857142</v>
      </c>
      <c r="BE87" s="120">
        <f t="shared" si="94"/>
        <v>30.949665912215686</v>
      </c>
      <c r="BF87" s="117">
        <f>(('[1]setup'!$B$13*'[1]setup'!$B$14*'[1]setup'!$B$15)/10^(-R87))*10^6</f>
        <v>19.408581856274953</v>
      </c>
      <c r="BG87" s="118">
        <f t="shared" si="95"/>
        <v>4.6815428810943684</v>
      </c>
      <c r="BH87" s="117">
        <f t="shared" si="96"/>
        <v>117.37044533365184</v>
      </c>
      <c r="BI87" s="117">
        <f t="shared" si="97"/>
        <v>248.91120878712886</v>
      </c>
      <c r="BJ87" s="117">
        <f t="shared" si="98"/>
        <v>155.01994616594078</v>
      </c>
      <c r="BK87" s="119">
        <f t="shared" si="99"/>
        <v>23.244372579306678</v>
      </c>
      <c r="BL87" s="113"/>
      <c r="BM87" s="116">
        <f>(3*('[1]setup'!$D$19*(10^-R87)^3)+2*('[1]setup'!$D$20*'[1]setup'!$D$19*((10^-R87)^2))+('[1]setup'!$D$21*'[1]setup'!$D$19*10^-R87)+('[1]setup'!$D$19*'[1]setup'!$D$22*(AP87/(10^6*2))*(10^-R87)^3))*10^6</f>
        <v>0.0008455448252394129</v>
      </c>
      <c r="BN87" s="95">
        <f t="shared" si="100"/>
        <v>98.57365104710769</v>
      </c>
      <c r="BO87" s="117">
        <f>(BN87/((('[1]setup'!$C$26)/10^-R87)+2*(('[1]setup'!$C$26*'[1]setup'!$C$27)/(10^-R87^2))+3*(('[1]setup'!$C$26*'[1]setup'!$C$27*'[1]setup'!$C$28)/(10^-R87^3))))/(10^-R87^3/(10^-R87^3+'[1]setup'!$C$26*10^-R87^2+'[1]setup'!$C$26*'[1]setup'!$C$27*10^-R87+'[1]setup'!$C$26*'[1]setup'!$C$27*'[1]setup'!$C$28))</f>
        <v>42.03431224200056</v>
      </c>
      <c r="BP87" s="113"/>
      <c r="BQ87" s="111">
        <f t="shared" si="67"/>
        <v>248.30026676222326</v>
      </c>
      <c r="BR87" s="111">
        <f t="shared" si="68"/>
        <v>130.92982142857142</v>
      </c>
      <c r="BS87" s="111">
        <f t="shared" si="69"/>
        <v>1.8964378325199438</v>
      </c>
      <c r="BT87" s="111">
        <f t="shared" si="70"/>
        <v>116.65615961936615</v>
      </c>
      <c r="BU87" s="111">
        <f t="shared" si="71"/>
        <v>1.8739792540278082</v>
      </c>
    </row>
    <row r="88" spans="1:73" ht="12.75">
      <c r="A88" s="94">
        <v>40400</v>
      </c>
      <c r="B88" s="2" t="s">
        <v>37</v>
      </c>
      <c r="C88" s="60">
        <v>1035952</v>
      </c>
      <c r="E88" s="76">
        <v>0.038</v>
      </c>
      <c r="F88" s="72">
        <v>0.002</v>
      </c>
      <c r="G88" s="73">
        <v>0.0565</v>
      </c>
      <c r="H88" s="73">
        <v>2.02</v>
      </c>
      <c r="I88" s="74">
        <v>0.01</v>
      </c>
      <c r="J88" s="75">
        <v>0.03523</v>
      </c>
      <c r="K88" s="98">
        <v>0.005</v>
      </c>
      <c r="L88" s="78">
        <v>0.2521</v>
      </c>
      <c r="M88" s="76">
        <v>0.6798</v>
      </c>
      <c r="N88" s="72">
        <v>0.4247</v>
      </c>
      <c r="O88" s="76">
        <v>3.459</v>
      </c>
      <c r="P88" s="75">
        <v>0.6049</v>
      </c>
      <c r="Q88" s="75">
        <v>2.406</v>
      </c>
      <c r="R88" s="86">
        <v>6.218</v>
      </c>
      <c r="S88" s="2">
        <v>16.7</v>
      </c>
      <c r="T88" s="86">
        <v>21.54</v>
      </c>
      <c r="U88" s="2">
        <v>0.05</v>
      </c>
      <c r="W88" s="72">
        <v>0.002</v>
      </c>
      <c r="X88" s="101">
        <v>0.002</v>
      </c>
      <c r="Y88" s="78">
        <v>1.479</v>
      </c>
      <c r="Z88" s="78">
        <v>0.1418</v>
      </c>
      <c r="AA88" s="73">
        <v>0.09657000000000002</v>
      </c>
      <c r="AB88" s="2"/>
      <c r="AC88" s="35"/>
      <c r="AD88" s="75">
        <v>0.03912</v>
      </c>
      <c r="AE88" s="116">
        <f t="shared" si="72"/>
        <v>1.3571428571428572</v>
      </c>
      <c r="AF88" s="116">
        <f t="shared" si="73"/>
        <v>0.07272727272727272</v>
      </c>
      <c r="AG88" s="116">
        <f t="shared" si="74"/>
        <v>6.277777777777778</v>
      </c>
      <c r="AH88" s="116">
        <f t="shared" si="75"/>
        <v>288.5714285714286</v>
      </c>
      <c r="AI88" s="116">
        <f t="shared" si="76"/>
        <v>0.7142857142857143</v>
      </c>
      <c r="AJ88" s="116">
        <f t="shared" si="77"/>
        <v>2.5164285714285715</v>
      </c>
      <c r="AK88" s="116">
        <f t="shared" si="78"/>
        <v>0.4838709677419355</v>
      </c>
      <c r="AL88" s="116">
        <f t="shared" si="79"/>
        <v>6.464102564102563</v>
      </c>
      <c r="AM88" s="116">
        <f t="shared" si="80"/>
        <v>33.99</v>
      </c>
      <c r="AN88" s="116">
        <f t="shared" si="81"/>
        <v>35.391666666666666</v>
      </c>
      <c r="AO88" s="116">
        <f t="shared" si="82"/>
        <v>150.39130434782606</v>
      </c>
      <c r="AP88" s="116">
        <f t="shared" si="83"/>
        <v>37.80625</v>
      </c>
      <c r="AQ88" s="116">
        <f t="shared" si="84"/>
        <v>68.74285714285715</v>
      </c>
      <c r="AR88" s="95">
        <f t="shared" si="85"/>
        <v>0.6053408747539136</v>
      </c>
      <c r="AS88" s="116">
        <f t="shared" si="86"/>
        <v>4.838709677419355</v>
      </c>
      <c r="AT88" s="116"/>
      <c r="AU88" s="116">
        <f t="shared" si="87"/>
        <v>0.06349206349206349</v>
      </c>
      <c r="AV88" s="116">
        <f t="shared" si="88"/>
        <v>0.061538461538461535</v>
      </c>
      <c r="AW88" s="95">
        <f t="shared" si="89"/>
        <v>10.12857142857143</v>
      </c>
      <c r="AX88" s="95">
        <f t="shared" si="90"/>
        <v>6.897857142857144</v>
      </c>
      <c r="AY88" s="95"/>
      <c r="AZ88" s="95">
        <f t="shared" si="91"/>
        <v>3.230714285714286</v>
      </c>
      <c r="BA88" s="113"/>
      <c r="BB88" s="113"/>
      <c r="BC88" s="116">
        <f t="shared" si="92"/>
        <v>226.95135929288102</v>
      </c>
      <c r="BD88" s="116">
        <f t="shared" si="93"/>
        <v>109.06553571428572</v>
      </c>
      <c r="BE88" s="120">
        <f t="shared" si="94"/>
        <v>35.08330245599139</v>
      </c>
      <c r="BF88" s="117">
        <f>(('[1]setup'!$B$13*'[1]setup'!$B$14*'[1]setup'!$B$15)/10^(-R88))*10^6</f>
        <v>19.588167253101055</v>
      </c>
      <c r="BG88" s="118">
        <f t="shared" si="95"/>
        <v>13.852743710579912</v>
      </c>
      <c r="BH88" s="117">
        <f t="shared" si="96"/>
        <v>117.8858235785953</v>
      </c>
      <c r="BI88" s="117">
        <f t="shared" si="97"/>
        <v>227.55670016763494</v>
      </c>
      <c r="BJ88" s="117">
        <f t="shared" si="98"/>
        <v>142.5064466779667</v>
      </c>
      <c r="BK88" s="119">
        <f t="shared" si="99"/>
        <v>22.982632616793115</v>
      </c>
      <c r="BL88" s="113"/>
      <c r="BM88" s="116">
        <f>(3*('[1]setup'!$D$19*(10^-R88)^3)+2*('[1]setup'!$D$20*'[1]setup'!$D$19*((10^-R88)^2))+('[1]setup'!$D$21*'[1]setup'!$D$19*10^-R88)+('[1]setup'!$D$19*'[1]setup'!$D$22*(AP88/(10^6*2))*(10^-R88)^3))*10^6</f>
        <v>0.0008343138476434233</v>
      </c>
      <c r="BN88" s="95">
        <f t="shared" si="100"/>
        <v>98.9038315140958</v>
      </c>
      <c r="BO88" s="117">
        <f>(BN88/((('[1]setup'!$C$26)/10^-R88)+2*(('[1]setup'!$C$26*'[1]setup'!$C$27)/(10^-R88^2))+3*(('[1]setup'!$C$26*'[1]setup'!$C$27*'[1]setup'!$C$28)/(10^-R88^3))))/(10^-R88^3/(10^-R88^3+'[1]setup'!$C$26*10^-R88^2+'[1]setup'!$C$26*'[1]setup'!$C$27*10^-R88+'[1]setup'!$C$26*'[1]setup'!$C$27*'[1]setup'!$C$28))</f>
        <v>42.13354747824371</v>
      </c>
      <c r="BP88" s="113"/>
      <c r="BQ88" s="111">
        <f t="shared" si="67"/>
        <v>226.95135929288102</v>
      </c>
      <c r="BR88" s="111">
        <f t="shared" si="68"/>
        <v>109.06553571428572</v>
      </c>
      <c r="BS88" s="111">
        <f t="shared" si="69"/>
        <v>2.080871448588633</v>
      </c>
      <c r="BT88" s="111">
        <f t="shared" si="70"/>
        <v>117.17153786430958</v>
      </c>
      <c r="BU88" s="111">
        <f t="shared" si="71"/>
        <v>2.18773717879215</v>
      </c>
    </row>
    <row r="89" spans="1:73" ht="12.75">
      <c r="A89" s="94">
        <v>40423</v>
      </c>
      <c r="B89" s="2" t="s">
        <v>37</v>
      </c>
      <c r="C89" s="60">
        <v>1038479</v>
      </c>
      <c r="E89" s="2">
        <v>0.006</v>
      </c>
      <c r="F89" s="72">
        <v>0.002</v>
      </c>
      <c r="G89" s="73">
        <v>0.02</v>
      </c>
      <c r="H89" s="73">
        <v>2.278</v>
      </c>
      <c r="I89" s="90">
        <v>0.023</v>
      </c>
      <c r="J89" s="75">
        <v>0.03136</v>
      </c>
      <c r="K89" s="98">
        <v>0.005</v>
      </c>
      <c r="L89" s="78">
        <v>0.2748</v>
      </c>
      <c r="M89" s="76">
        <v>1.022</v>
      </c>
      <c r="N89" s="72">
        <v>0.5756</v>
      </c>
      <c r="O89" s="76">
        <v>4.606</v>
      </c>
      <c r="P89" s="75">
        <v>0.6522</v>
      </c>
      <c r="Q89" s="75">
        <v>2.518</v>
      </c>
      <c r="R89" s="86">
        <v>6.145</v>
      </c>
      <c r="S89" s="2">
        <v>19</v>
      </c>
      <c r="T89" s="86">
        <v>22.07</v>
      </c>
      <c r="U89" s="2">
        <v>0.05</v>
      </c>
      <c r="W89" s="61">
        <v>0.002</v>
      </c>
      <c r="X89" s="101">
        <v>0.002</v>
      </c>
      <c r="Y89" s="92">
        <v>0.5</v>
      </c>
      <c r="Z89" s="92">
        <v>0.1</v>
      </c>
      <c r="AA89" s="73">
        <v>0.04564000000000001</v>
      </c>
      <c r="AB89" s="35"/>
      <c r="AC89" s="35"/>
      <c r="AD89" s="75">
        <v>0.05524</v>
      </c>
      <c r="AE89" s="116">
        <f t="shared" si="72"/>
        <v>0.2142857142857143</v>
      </c>
      <c r="AF89" s="116">
        <f t="shared" si="73"/>
        <v>0.07272727272727272</v>
      </c>
      <c r="AG89" s="116">
        <f t="shared" si="74"/>
        <v>2.2222222222222223</v>
      </c>
      <c r="AH89" s="116">
        <f t="shared" si="75"/>
        <v>325.42857142857144</v>
      </c>
      <c r="AI89" s="116">
        <f t="shared" si="76"/>
        <v>1.6428571428571428</v>
      </c>
      <c r="AJ89" s="116">
        <f t="shared" si="77"/>
        <v>2.2399999999999998</v>
      </c>
      <c r="AK89" s="116">
        <f t="shared" si="78"/>
        <v>0.4838709677419355</v>
      </c>
      <c r="AL89" s="116">
        <f t="shared" si="79"/>
        <v>7.046153846153846</v>
      </c>
      <c r="AM89" s="116">
        <f t="shared" si="80"/>
        <v>51.1</v>
      </c>
      <c r="AN89" s="116">
        <f t="shared" si="81"/>
        <v>47.96666666666666</v>
      </c>
      <c r="AO89" s="116">
        <f t="shared" si="82"/>
        <v>200.26086956521738</v>
      </c>
      <c r="AP89" s="116">
        <f t="shared" si="83"/>
        <v>40.7625</v>
      </c>
      <c r="AQ89" s="116">
        <f t="shared" si="84"/>
        <v>71.94285714285714</v>
      </c>
      <c r="AR89" s="95">
        <f t="shared" si="85"/>
        <v>0.7161434102129027</v>
      </c>
      <c r="AS89" s="116">
        <f t="shared" si="86"/>
        <v>4.838709677419355</v>
      </c>
      <c r="AT89" s="116"/>
      <c r="AU89" s="116">
        <f t="shared" si="87"/>
        <v>0.06349206349206349</v>
      </c>
      <c r="AV89" s="116">
        <f t="shared" si="88"/>
        <v>0.061538461538461535</v>
      </c>
      <c r="AW89" s="95">
        <f t="shared" si="89"/>
        <v>7.142857142857143</v>
      </c>
      <c r="AX89" s="95">
        <f t="shared" si="90"/>
        <v>3.2600000000000007</v>
      </c>
      <c r="AY89" s="95"/>
      <c r="AZ89" s="95">
        <f t="shared" si="91"/>
        <v>3.8828571428571426</v>
      </c>
      <c r="BA89" s="113"/>
      <c r="BB89" s="113"/>
      <c r="BC89" s="116">
        <f t="shared" si="92"/>
        <v>308.01654722089506</v>
      </c>
      <c r="BD89" s="116">
        <f t="shared" si="93"/>
        <v>114.94535714285715</v>
      </c>
      <c r="BE89" s="120">
        <f t="shared" si="94"/>
        <v>45.647418381205895</v>
      </c>
      <c r="BF89" s="117">
        <f>(('[1]setup'!$B$13*'[1]setup'!$B$14*'[1]setup'!$B$15)/10^(-R89))*10^6</f>
        <v>16.55746339450784</v>
      </c>
      <c r="BG89" s="118">
        <f t="shared" si="95"/>
        <v>4.652833704069403</v>
      </c>
      <c r="BH89" s="117">
        <f t="shared" si="96"/>
        <v>193.07119007803794</v>
      </c>
      <c r="BI89" s="117">
        <f t="shared" si="97"/>
        <v>308.73269063110797</v>
      </c>
      <c r="BJ89" s="117">
        <f t="shared" si="98"/>
        <v>136.15565424143438</v>
      </c>
      <c r="BK89" s="119">
        <f t="shared" si="99"/>
        <v>38.79108957981711</v>
      </c>
      <c r="BL89" s="113"/>
      <c r="BM89" s="116">
        <f>(3*('[1]setup'!$D$19*(10^-R89)^3)+2*('[1]setup'!$D$20*'[1]setup'!$D$19*((10^-R89)^2))+('[1]setup'!$D$21*'[1]setup'!$D$19*10^-R89)+('[1]setup'!$D$19*'[1]setup'!$D$22*(AP89/(10^6*2))*(10^-R89)^3))*10^6</f>
        <v>0.0010698891144159568</v>
      </c>
      <c r="BN89" s="95">
        <f t="shared" si="100"/>
        <v>177.23093998285742</v>
      </c>
      <c r="BO89" s="117">
        <f>(BN89/((('[1]setup'!$C$26)/10^-R89)+2*(('[1]setup'!$C$26*'[1]setup'!$C$27)/(10^-R89^2))+3*(('[1]setup'!$C$26*'[1]setup'!$C$27*'[1]setup'!$C$28)/(10^-R89^3))))/(10^-R89^3/(10^-R89^3+'[1]setup'!$C$26*10^-R89^2+'[1]setup'!$C$26*'[1]setup'!$C$27*10^-R89+'[1]setup'!$C$26*'[1]setup'!$C$27*'[1]setup'!$C$28))</f>
        <v>76.8628814851642</v>
      </c>
      <c r="BP89" s="113"/>
      <c r="BQ89" s="111">
        <f t="shared" si="67"/>
        <v>308.01654722089506</v>
      </c>
      <c r="BR89" s="111">
        <f t="shared" si="68"/>
        <v>114.94535714285715</v>
      </c>
      <c r="BS89" s="111">
        <f t="shared" si="69"/>
        <v>2.679678021601898</v>
      </c>
      <c r="BT89" s="111">
        <f t="shared" si="70"/>
        <v>191.42833293518075</v>
      </c>
      <c r="BU89" s="111">
        <f t="shared" si="71"/>
        <v>2.7836101806126328</v>
      </c>
    </row>
    <row r="90" spans="1:73" ht="12.75">
      <c r="A90" s="94">
        <v>40449</v>
      </c>
      <c r="B90" s="2" t="s">
        <v>37</v>
      </c>
      <c r="C90" s="60">
        <v>1040548</v>
      </c>
      <c r="E90" s="2">
        <v>0.006</v>
      </c>
      <c r="F90" s="72">
        <v>0.002</v>
      </c>
      <c r="G90" s="2">
        <v>0.02</v>
      </c>
      <c r="H90" s="73">
        <v>1.741</v>
      </c>
      <c r="I90" s="2">
        <v>0.017</v>
      </c>
      <c r="J90" s="75">
        <v>0.025</v>
      </c>
      <c r="K90" s="101">
        <v>0.007</v>
      </c>
      <c r="L90" s="78">
        <v>0.2603</v>
      </c>
      <c r="M90" s="76">
        <v>0.7657</v>
      </c>
      <c r="N90" s="72">
        <v>0.574</v>
      </c>
      <c r="O90" s="76">
        <v>4.143</v>
      </c>
      <c r="P90" s="75">
        <v>0.6384</v>
      </c>
      <c r="Q90" s="75">
        <v>2.778</v>
      </c>
      <c r="R90" s="86">
        <v>6.311</v>
      </c>
      <c r="S90" s="2">
        <v>16.9</v>
      </c>
      <c r="T90" s="86">
        <v>21.66</v>
      </c>
      <c r="U90" s="2">
        <v>0.05</v>
      </c>
      <c r="W90" s="2">
        <v>0.002</v>
      </c>
      <c r="X90" s="101">
        <v>0.002</v>
      </c>
      <c r="Y90" s="78">
        <v>0.6609</v>
      </c>
      <c r="Z90" s="78">
        <v>0.1482</v>
      </c>
      <c r="AA90" s="73">
        <v>0.10619999999999999</v>
      </c>
      <c r="AB90" s="35"/>
      <c r="AC90" s="35"/>
      <c r="AD90" s="75">
        <v>0.05952</v>
      </c>
      <c r="AE90" s="116">
        <f t="shared" si="72"/>
        <v>0.2142857142857143</v>
      </c>
      <c r="AF90" s="116">
        <f t="shared" si="73"/>
        <v>0.07272727272727272</v>
      </c>
      <c r="AG90" s="116">
        <f t="shared" si="74"/>
        <v>2.2222222222222223</v>
      </c>
      <c r="AH90" s="116">
        <f t="shared" si="75"/>
        <v>248.71428571428572</v>
      </c>
      <c r="AI90" s="116">
        <f t="shared" si="76"/>
        <v>1.2142857142857144</v>
      </c>
      <c r="AJ90" s="116">
        <f t="shared" si="77"/>
        <v>1.7857142857142858</v>
      </c>
      <c r="AK90" s="116">
        <f t="shared" si="78"/>
        <v>0.6774193548387097</v>
      </c>
      <c r="AL90" s="116">
        <f t="shared" si="79"/>
        <v>6.674358974358974</v>
      </c>
      <c r="AM90" s="116">
        <f t="shared" si="80"/>
        <v>38.285</v>
      </c>
      <c r="AN90" s="116">
        <f t="shared" si="81"/>
        <v>47.83333333333333</v>
      </c>
      <c r="AO90" s="116">
        <f t="shared" si="82"/>
        <v>180.1304347826087</v>
      </c>
      <c r="AP90" s="116">
        <f t="shared" si="83"/>
        <v>39.9</v>
      </c>
      <c r="AQ90" s="116">
        <f t="shared" si="84"/>
        <v>79.37142857142858</v>
      </c>
      <c r="AR90" s="95">
        <f t="shared" si="85"/>
        <v>0.48865235934283363</v>
      </c>
      <c r="AS90" s="116">
        <f t="shared" si="86"/>
        <v>4.838709677419355</v>
      </c>
      <c r="AT90" s="116"/>
      <c r="AU90" s="116">
        <f t="shared" si="87"/>
        <v>0.06349206349206349</v>
      </c>
      <c r="AV90" s="116">
        <f t="shared" si="88"/>
        <v>0.061538461538461535</v>
      </c>
      <c r="AW90" s="95">
        <f t="shared" si="89"/>
        <v>10.585714285714285</v>
      </c>
      <c r="AX90" s="95">
        <f t="shared" si="90"/>
        <v>7.585714285714285</v>
      </c>
      <c r="AY90" s="95"/>
      <c r="AZ90" s="95">
        <f t="shared" si="91"/>
        <v>3</v>
      </c>
      <c r="BA90" s="113"/>
      <c r="BB90" s="113"/>
      <c r="BC90" s="116">
        <f t="shared" si="92"/>
        <v>274.13741280458675</v>
      </c>
      <c r="BD90" s="116">
        <f t="shared" si="93"/>
        <v>121.05714285714286</v>
      </c>
      <c r="BE90" s="120">
        <f t="shared" si="94"/>
        <v>38.73541974562886</v>
      </c>
      <c r="BF90" s="117">
        <f>(('[1]setup'!$B$13*'[1]setup'!$B$14*'[1]setup'!$B$15)/10^(-R90))*10^6</f>
        <v>24.265754729527526</v>
      </c>
      <c r="BG90" s="118">
        <f t="shared" si="95"/>
        <v>6.236989745829961</v>
      </c>
      <c r="BH90" s="117">
        <f t="shared" si="96"/>
        <v>153.08026994744387</v>
      </c>
      <c r="BI90" s="117">
        <f t="shared" si="97"/>
        <v>274.6260651639296</v>
      </c>
      <c r="BJ90" s="117">
        <f t="shared" si="98"/>
        <v>151.55988733250035</v>
      </c>
      <c r="BK90" s="119">
        <f t="shared" si="99"/>
        <v>28.87616945386301</v>
      </c>
      <c r="BL90" s="113"/>
      <c r="BM90" s="116">
        <f>(3*('[1]setup'!$D$19*(10^-R90)^3)+2*('[1]setup'!$D$20*'[1]setup'!$D$19*((10^-R90)^2))+('[1]setup'!$D$21*'[1]setup'!$D$19*10^-R90)+('[1]setup'!$D$19*'[1]setup'!$D$22*(AP90/(10^6*2))*(10^-R90)^3))*10^6</f>
        <v>0.0006178989277138547</v>
      </c>
      <c r="BN90" s="95">
        <f t="shared" si="100"/>
        <v>129.3037854761869</v>
      </c>
      <c r="BO90" s="117">
        <f>(BN90/((('[1]setup'!$C$26)/10^-R90)+2*(('[1]setup'!$C$26*'[1]setup'!$C$27)/(10^-R90^2))+3*(('[1]setup'!$C$26*'[1]setup'!$C$27*'[1]setup'!$C$28)/(10^-R90^3))))/(10^-R90^3/(10^-R90^3+'[1]setup'!$C$26*10^-R90^2+'[1]setup'!$C$26*'[1]setup'!$C$27*10^-R90+'[1]setup'!$C$26*'[1]setup'!$C$27*'[1]setup'!$C$28))</f>
        <v>53.829924350048444</v>
      </c>
      <c r="BP90" s="113"/>
      <c r="BQ90" s="111">
        <f t="shared" si="67"/>
        <v>274.1374128045867</v>
      </c>
      <c r="BR90" s="111">
        <f t="shared" si="68"/>
        <v>121.05714285714286</v>
      </c>
      <c r="BS90" s="111">
        <f t="shared" si="69"/>
        <v>2.264529017739092</v>
      </c>
      <c r="BT90" s="111">
        <f t="shared" si="70"/>
        <v>151.86598423315814</v>
      </c>
      <c r="BU90" s="111">
        <f t="shared" si="71"/>
        <v>2.2694619213071645</v>
      </c>
    </row>
    <row r="91" spans="1:73" ht="15">
      <c r="A91" s="94">
        <v>40469</v>
      </c>
      <c r="B91" s="2" t="s">
        <v>37</v>
      </c>
      <c r="C91" s="60">
        <v>1042088</v>
      </c>
      <c r="E91" s="2">
        <v>0.006</v>
      </c>
      <c r="F91" s="72">
        <v>0.002</v>
      </c>
      <c r="G91" s="73">
        <v>0.02</v>
      </c>
      <c r="H91" s="73">
        <v>1.618</v>
      </c>
      <c r="I91" s="90">
        <v>0.01</v>
      </c>
      <c r="J91" s="75">
        <v>0.03448</v>
      </c>
      <c r="K91" s="98">
        <v>0.006</v>
      </c>
      <c r="L91" s="78">
        <v>0.2477</v>
      </c>
      <c r="M91" s="76">
        <v>0.5451</v>
      </c>
      <c r="N91" s="72">
        <v>0.3219</v>
      </c>
      <c r="O91" s="76">
        <v>2.535</v>
      </c>
      <c r="P91" s="75">
        <v>0.6395</v>
      </c>
      <c r="Q91" s="75">
        <v>2.567</v>
      </c>
      <c r="R91" s="86">
        <v>6.089</v>
      </c>
      <c r="S91" s="2">
        <v>10.4</v>
      </c>
      <c r="T91" s="86">
        <v>21.83</v>
      </c>
      <c r="U91" s="2">
        <v>0.05</v>
      </c>
      <c r="W91" s="2">
        <v>0.002</v>
      </c>
      <c r="X91" s="101">
        <v>0.002</v>
      </c>
      <c r="Y91" s="93">
        <v>0.5</v>
      </c>
      <c r="Z91" s="78">
        <v>0.1613</v>
      </c>
      <c r="AA91" s="73">
        <v>0.11682000000000001</v>
      </c>
      <c r="AC91"/>
      <c r="AD91" s="75">
        <v>0.04458</v>
      </c>
      <c r="AE91" s="116">
        <f t="shared" si="72"/>
        <v>0.2142857142857143</v>
      </c>
      <c r="AF91" s="116">
        <f t="shared" si="73"/>
        <v>0.07272727272727272</v>
      </c>
      <c r="AG91" s="116">
        <f t="shared" si="74"/>
        <v>2.2222222222222223</v>
      </c>
      <c r="AH91" s="116">
        <f t="shared" si="75"/>
        <v>231.14285714285714</v>
      </c>
      <c r="AI91" s="116">
        <f t="shared" si="76"/>
        <v>0.7142857142857143</v>
      </c>
      <c r="AJ91" s="116">
        <f t="shared" si="77"/>
        <v>2.4628571428571426</v>
      </c>
      <c r="AK91" s="116">
        <f t="shared" si="78"/>
        <v>0.5806451612903225</v>
      </c>
      <c r="AL91" s="116">
        <f t="shared" si="79"/>
        <v>6.351282051282051</v>
      </c>
      <c r="AM91" s="116">
        <f t="shared" si="80"/>
        <v>27.255000000000003</v>
      </c>
      <c r="AN91" s="116">
        <f t="shared" si="81"/>
        <v>26.825000000000003</v>
      </c>
      <c r="AO91" s="116">
        <f t="shared" si="82"/>
        <v>110.21739130434784</v>
      </c>
      <c r="AP91" s="116">
        <f t="shared" si="83"/>
        <v>39.96875</v>
      </c>
      <c r="AQ91" s="116">
        <f t="shared" si="84"/>
        <v>73.34285714285716</v>
      </c>
      <c r="AR91" s="95">
        <f t="shared" si="85"/>
        <v>0.8147042840208388</v>
      </c>
      <c r="AS91" s="116">
        <f t="shared" si="86"/>
        <v>4.838709677419355</v>
      </c>
      <c r="AT91" s="116"/>
      <c r="AU91" s="116">
        <f t="shared" si="87"/>
        <v>0.06349206349206349</v>
      </c>
      <c r="AV91" s="116">
        <f t="shared" si="88"/>
        <v>0.061538461538461535</v>
      </c>
      <c r="AW91" s="95">
        <f t="shared" si="89"/>
        <v>11.521428571428572</v>
      </c>
      <c r="AX91" s="95">
        <f t="shared" si="90"/>
        <v>8.344285714285714</v>
      </c>
      <c r="AY91" s="95"/>
      <c r="AZ91" s="95">
        <f t="shared" si="91"/>
        <v>3.177142857142857</v>
      </c>
      <c r="BA91" s="113"/>
      <c r="BB91" s="113"/>
      <c r="BC91" s="116">
        <f t="shared" si="92"/>
        <v>171.36295906991563</v>
      </c>
      <c r="BD91" s="116">
        <f t="shared" si="93"/>
        <v>115.7744642857143</v>
      </c>
      <c r="BE91" s="120">
        <f t="shared" si="94"/>
        <v>19.359543641008784</v>
      </c>
      <c r="BF91" s="117">
        <f>(('[1]setup'!$B$13*'[1]setup'!$B$14*'[1]setup'!$B$15)/10^(-R91))*10^6</f>
        <v>14.554383145375542</v>
      </c>
      <c r="BG91" s="118">
        <f t="shared" si="95"/>
        <v>4.6280083314857094</v>
      </c>
      <c r="BH91" s="117">
        <f t="shared" si="96"/>
        <v>55.58849478420133</v>
      </c>
      <c r="BI91" s="117">
        <f t="shared" si="97"/>
        <v>172.17766335393648</v>
      </c>
      <c r="BJ91" s="117">
        <f t="shared" si="98"/>
        <v>134.95685576257554</v>
      </c>
      <c r="BK91" s="119">
        <f t="shared" si="99"/>
        <v>12.11873145956647</v>
      </c>
      <c r="BL91" s="113"/>
      <c r="BM91" s="116">
        <f>(3*('[1]setup'!$D$19*(10^-R91)^3)+2*('[1]setup'!$D$20*'[1]setup'!$D$19*((10^-R91)^2))+('[1]setup'!$D$21*'[1]setup'!$D$19*10^-R91)+('[1]setup'!$D$19*'[1]setup'!$D$22*(AP91/(10^6*2))*(10^-R91)^3))*10^6</f>
        <v>0.0013060070563315504</v>
      </c>
      <c r="BN91" s="95">
        <f t="shared" si="100"/>
        <v>41.85012192990297</v>
      </c>
      <c r="BO91" s="117">
        <f>(BN91/((('[1]setup'!$C$26)/10^-R91)+2*(('[1]setup'!$C$26*'[1]setup'!$C$27)/(10^-R91^2))+3*(('[1]setup'!$C$26*'[1]setup'!$C$27*'[1]setup'!$C$28)/(10^-R91^3))))/(10^-R91^3/(10^-R91^3+'[1]setup'!$C$26*10^-R91^2+'[1]setup'!$C$26*'[1]setup'!$C$27*10^-R91+'[1]setup'!$C$26*'[1]setup'!$C$27*'[1]setup'!$C$28))</f>
        <v>18.396259193553416</v>
      </c>
      <c r="BP91" s="113"/>
      <c r="BQ91" s="111">
        <f t="shared" si="67"/>
        <v>171.3629590699156</v>
      </c>
      <c r="BR91" s="111">
        <f t="shared" si="68"/>
        <v>115.7744642857143</v>
      </c>
      <c r="BS91" s="111">
        <f t="shared" si="69"/>
        <v>1.4801446944899446</v>
      </c>
      <c r="BT91" s="111">
        <f t="shared" si="70"/>
        <v>54.87420906991561</v>
      </c>
      <c r="BU91" s="111">
        <f t="shared" si="71"/>
        <v>1.5027692620382445</v>
      </c>
    </row>
    <row r="92" spans="1:73" ht="12.75">
      <c r="A92" s="94">
        <v>40491</v>
      </c>
      <c r="B92" s="2" t="s">
        <v>37</v>
      </c>
      <c r="C92" s="60">
        <v>1043810</v>
      </c>
      <c r="E92" s="2">
        <v>0.006</v>
      </c>
      <c r="F92" s="2">
        <v>0.002</v>
      </c>
      <c r="G92" s="73">
        <v>0.02</v>
      </c>
      <c r="H92" s="73">
        <v>1.789</v>
      </c>
      <c r="I92" s="2">
        <v>0.01</v>
      </c>
      <c r="J92" s="75">
        <v>0.02948</v>
      </c>
      <c r="K92" s="101">
        <v>0.007</v>
      </c>
      <c r="L92" s="78">
        <v>0.2042</v>
      </c>
      <c r="M92" s="76">
        <v>0.1946</v>
      </c>
      <c r="N92" s="72">
        <v>0.2493</v>
      </c>
      <c r="O92" s="76">
        <v>2.437</v>
      </c>
      <c r="P92" s="75">
        <v>0.6079</v>
      </c>
      <c r="Q92" s="75">
        <v>2.521</v>
      </c>
      <c r="R92" s="86">
        <v>6.463</v>
      </c>
      <c r="S92" s="2">
        <v>11.9</v>
      </c>
      <c r="T92" s="86">
        <v>20.41</v>
      </c>
      <c r="U92" s="2">
        <v>0.05</v>
      </c>
      <c r="W92" s="2">
        <v>0.002</v>
      </c>
      <c r="X92" s="101">
        <v>0.002471</v>
      </c>
      <c r="Y92" s="78">
        <v>0.8455</v>
      </c>
      <c r="Z92" s="78">
        <v>0.1159</v>
      </c>
      <c r="AA92" s="73">
        <v>0.07642</v>
      </c>
      <c r="AC92"/>
      <c r="AD92" s="75">
        <v>0.04975</v>
      </c>
      <c r="AE92" s="116">
        <f t="shared" si="72"/>
        <v>0.2142857142857143</v>
      </c>
      <c r="AF92" s="116">
        <f t="shared" si="73"/>
        <v>0.07272727272727272</v>
      </c>
      <c r="AG92" s="116">
        <f t="shared" si="74"/>
        <v>2.2222222222222223</v>
      </c>
      <c r="AH92" s="116">
        <f t="shared" si="75"/>
        <v>255.57142857142856</v>
      </c>
      <c r="AI92" s="116">
        <f t="shared" si="76"/>
        <v>0.7142857142857143</v>
      </c>
      <c r="AJ92" s="116">
        <f t="shared" si="77"/>
        <v>2.105714285714286</v>
      </c>
      <c r="AK92" s="116">
        <f t="shared" si="78"/>
        <v>0.6774193548387097</v>
      </c>
      <c r="AL92" s="116">
        <f t="shared" si="79"/>
        <v>5.235897435897436</v>
      </c>
      <c r="AM92" s="116">
        <f t="shared" si="80"/>
        <v>9.729999999999999</v>
      </c>
      <c r="AN92" s="116">
        <f t="shared" si="81"/>
        <v>20.775</v>
      </c>
      <c r="AO92" s="116">
        <f t="shared" si="82"/>
        <v>105.95652173913042</v>
      </c>
      <c r="AP92" s="116">
        <f t="shared" si="83"/>
        <v>37.99375</v>
      </c>
      <c r="AQ92" s="116">
        <f t="shared" si="84"/>
        <v>72.02857142857142</v>
      </c>
      <c r="AR92" s="95">
        <f t="shared" si="85"/>
        <v>0.3443499307633383</v>
      </c>
      <c r="AS92" s="116">
        <f t="shared" si="86"/>
        <v>4.838709677419355</v>
      </c>
      <c r="AT92" s="116"/>
      <c r="AU92" s="116">
        <f t="shared" si="87"/>
        <v>0.06349206349206349</v>
      </c>
      <c r="AV92" s="116">
        <f t="shared" si="88"/>
        <v>0.07603076923076924</v>
      </c>
      <c r="AW92" s="95">
        <f t="shared" si="89"/>
        <v>8.278571428571428</v>
      </c>
      <c r="AX92" s="95">
        <f t="shared" si="90"/>
        <v>5.458571428571428</v>
      </c>
      <c r="AY92" s="95"/>
      <c r="AZ92" s="95">
        <f t="shared" si="91"/>
        <v>2.8200000000000003</v>
      </c>
      <c r="BA92" s="113"/>
      <c r="BB92" s="113"/>
      <c r="BC92" s="116">
        <f t="shared" si="92"/>
        <v>142.41170488931357</v>
      </c>
      <c r="BD92" s="116">
        <f t="shared" si="93"/>
        <v>112.12803571428572</v>
      </c>
      <c r="BE92" s="120">
        <f t="shared" si="94"/>
        <v>11.89742281626244</v>
      </c>
      <c r="BF92" s="117">
        <f>(('[1]setup'!$B$13*'[1]setup'!$B$14*'[1]setup'!$B$15)/10^(-R92))*10^6</f>
        <v>34.4345017683987</v>
      </c>
      <c r="BG92" s="118">
        <f t="shared" si="95"/>
        <v>8.0648326114181</v>
      </c>
      <c r="BH92" s="117">
        <f t="shared" si="96"/>
        <v>30.283669175027896</v>
      </c>
      <c r="BI92" s="117">
        <f t="shared" si="97"/>
        <v>142.75605482007694</v>
      </c>
      <c r="BJ92" s="117">
        <f t="shared" si="98"/>
        <v>154.6273700941025</v>
      </c>
      <c r="BK92" s="119">
        <f t="shared" si="99"/>
        <v>3.9919223061781106</v>
      </c>
      <c r="BL92" s="113"/>
      <c r="BM92" s="116">
        <f>(3*('[1]setup'!$D$19*(10^-R92)^3)+2*('[1]setup'!$D$20*'[1]setup'!$D$19*((10^-R92)^2))+('[1]setup'!$D$21*'[1]setup'!$D$19*10^-R92)+('[1]setup'!$D$19*'[1]setup'!$D$22*(AP92/(10^6*2))*(10^-R92)^3))*10^6</f>
        <v>0.0003908815311789104</v>
      </c>
      <c r="BN92" s="95">
        <f t="shared" si="100"/>
        <v>-3.806091781076276</v>
      </c>
      <c r="BO92" s="117">
        <f>(BN92/((('[1]setup'!$C$26)/10^-R92)+2*(('[1]setup'!$C$26*'[1]setup'!$C$27)/(10^-R92^2))+3*(('[1]setup'!$C$26*'[1]setup'!$C$27*'[1]setup'!$C$28)/(10^-R92^3))))/(10^-R92^3/(10^-R92^3+'[1]setup'!$C$26*10^-R92^2+'[1]setup'!$C$26*'[1]setup'!$C$27*10^-R92+'[1]setup'!$C$26*'[1]setup'!$C$27*'[1]setup'!$C$28))</f>
        <v>-1.526448316600003</v>
      </c>
      <c r="BP92" s="113"/>
      <c r="BQ92" s="111">
        <f t="shared" si="67"/>
        <v>142.41170488931357</v>
      </c>
      <c r="BR92" s="111">
        <f t="shared" si="68"/>
        <v>112.12803571428572</v>
      </c>
      <c r="BS92" s="111">
        <f t="shared" si="69"/>
        <v>1.2700811530507312</v>
      </c>
      <c r="BT92" s="111">
        <f t="shared" si="70"/>
        <v>29.56938346074213</v>
      </c>
      <c r="BU92" s="111">
        <f t="shared" si="71"/>
        <v>1.4710346135936394</v>
      </c>
    </row>
    <row r="93" spans="1:73" ht="12.75">
      <c r="A93" s="94">
        <v>40526</v>
      </c>
      <c r="B93" s="2" t="s">
        <v>37</v>
      </c>
      <c r="E93" s="2"/>
      <c r="F93" s="72"/>
      <c r="G93" s="73"/>
      <c r="H93" s="73"/>
      <c r="I93" s="86"/>
      <c r="J93" s="61"/>
      <c r="K93" s="101"/>
      <c r="L93" s="78"/>
      <c r="M93" s="76"/>
      <c r="N93" s="72"/>
      <c r="O93" s="76"/>
      <c r="P93" s="61"/>
      <c r="Q93" s="61"/>
      <c r="R93" s="86"/>
      <c r="S93" s="2"/>
      <c r="T93" s="86"/>
      <c r="U93" s="2"/>
      <c r="W93" s="2"/>
      <c r="X93" s="101"/>
      <c r="Y93" s="78"/>
      <c r="Z93" s="78"/>
      <c r="AA93" s="73"/>
      <c r="AC93"/>
      <c r="AD93" s="78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95"/>
      <c r="AS93" s="116"/>
      <c r="AT93" s="116"/>
      <c r="AU93" s="116"/>
      <c r="AV93" s="116"/>
      <c r="AW93" s="95"/>
      <c r="AX93" s="95"/>
      <c r="AY93" s="95"/>
      <c r="AZ93" s="95"/>
      <c r="BA93" s="113"/>
      <c r="BB93" s="113"/>
      <c r="BC93" s="116"/>
      <c r="BD93" s="116"/>
      <c r="BE93" s="120"/>
      <c r="BF93" s="117"/>
      <c r="BG93" s="118"/>
      <c r="BH93" s="117"/>
      <c r="BI93" s="117"/>
      <c r="BJ93" s="117"/>
      <c r="BK93" s="119"/>
      <c r="BL93" s="113"/>
      <c r="BM93" s="116"/>
      <c r="BN93" s="95"/>
      <c r="BO93" s="117"/>
      <c r="BP93" s="113"/>
      <c r="BQ93" s="111"/>
      <c r="BR93" s="111"/>
      <c r="BS93" s="111"/>
      <c r="BT93" s="111"/>
      <c r="BU93" s="111"/>
    </row>
    <row r="94" spans="1:73" ht="12.75">
      <c r="A94" s="94">
        <v>40555</v>
      </c>
      <c r="B94" s="2" t="s">
        <v>37</v>
      </c>
      <c r="C94" s="59"/>
      <c r="E94" s="2"/>
      <c r="F94" s="72"/>
      <c r="G94" s="73"/>
      <c r="H94" s="73"/>
      <c r="I94" s="90"/>
      <c r="J94" s="75"/>
      <c r="K94" s="98"/>
      <c r="L94" s="78"/>
      <c r="M94" s="76"/>
      <c r="N94" s="72"/>
      <c r="O94" s="76"/>
      <c r="P94" s="75"/>
      <c r="Q94" s="75"/>
      <c r="Z94" s="71"/>
      <c r="AA94" s="73"/>
      <c r="AC94" s="35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95"/>
      <c r="AS94" s="116"/>
      <c r="AT94" s="116"/>
      <c r="AU94" s="116"/>
      <c r="AV94" s="116"/>
      <c r="AW94" s="95"/>
      <c r="AX94" s="95"/>
      <c r="AY94" s="95"/>
      <c r="AZ94" s="95"/>
      <c r="BA94" s="113"/>
      <c r="BB94" s="113"/>
      <c r="BC94" s="116"/>
      <c r="BD94" s="116"/>
      <c r="BE94" s="120"/>
      <c r="BF94" s="117"/>
      <c r="BG94" s="118"/>
      <c r="BH94" s="117"/>
      <c r="BI94" s="117"/>
      <c r="BJ94" s="117"/>
      <c r="BK94" s="119"/>
      <c r="BL94" s="113"/>
      <c r="BM94" s="116"/>
      <c r="BN94" s="95"/>
      <c r="BO94" s="117"/>
      <c r="BP94" s="113"/>
      <c r="BQ94" s="111"/>
      <c r="BR94" s="111"/>
      <c r="BS94" s="111"/>
      <c r="BT94" s="111"/>
      <c r="BU94" s="111"/>
    </row>
    <row r="95" spans="1:73" ht="12.75">
      <c r="A95" s="94">
        <v>40575</v>
      </c>
      <c r="B95" s="2" t="s">
        <v>37</v>
      </c>
      <c r="C95" s="65"/>
      <c r="K95" s="99"/>
      <c r="Q95" s="86"/>
      <c r="R95" s="2"/>
      <c r="S95" s="86"/>
      <c r="Z95" s="71"/>
      <c r="AA95" s="73"/>
      <c r="AB95" s="35"/>
      <c r="AC95" s="35"/>
      <c r="AD95" s="2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95"/>
      <c r="AS95" s="116"/>
      <c r="AT95" s="116"/>
      <c r="AU95" s="116"/>
      <c r="AV95" s="116"/>
      <c r="AW95" s="95"/>
      <c r="AX95" s="95"/>
      <c r="AY95" s="95"/>
      <c r="AZ95" s="95"/>
      <c r="BA95" s="113"/>
      <c r="BB95" s="113"/>
      <c r="BC95" s="116"/>
      <c r="BD95" s="116"/>
      <c r="BE95" s="120"/>
      <c r="BF95" s="117"/>
      <c r="BG95" s="118"/>
      <c r="BH95" s="117"/>
      <c r="BI95" s="117"/>
      <c r="BJ95" s="117"/>
      <c r="BK95" s="119"/>
      <c r="BL95" s="113"/>
      <c r="BM95" s="116"/>
      <c r="BN95" s="95"/>
      <c r="BO95" s="117"/>
      <c r="BP95" s="113"/>
      <c r="BQ95" s="111"/>
      <c r="BR95" s="111"/>
      <c r="BS95" s="111"/>
      <c r="BT95" s="111"/>
      <c r="BU95" s="111"/>
    </row>
    <row r="96" spans="1:73" ht="12.75">
      <c r="A96" s="94">
        <v>40597</v>
      </c>
      <c r="B96" s="2" t="s">
        <v>37</v>
      </c>
      <c r="C96" s="63"/>
      <c r="K96" s="99"/>
      <c r="Q96" s="86"/>
      <c r="R96" s="2"/>
      <c r="S96" s="86"/>
      <c r="Z96" s="71"/>
      <c r="AA96" s="73"/>
      <c r="AB96" s="35"/>
      <c r="AC96" s="35"/>
      <c r="AD96" s="2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95"/>
      <c r="AS96" s="116"/>
      <c r="AT96" s="116"/>
      <c r="AU96" s="116"/>
      <c r="AV96" s="116"/>
      <c r="AW96" s="95"/>
      <c r="AX96" s="95"/>
      <c r="AY96" s="95"/>
      <c r="AZ96" s="95"/>
      <c r="BA96" s="113"/>
      <c r="BB96" s="113"/>
      <c r="BC96" s="116"/>
      <c r="BD96" s="116"/>
      <c r="BE96" s="120"/>
      <c r="BF96" s="117"/>
      <c r="BG96" s="118"/>
      <c r="BH96" s="117"/>
      <c r="BI96" s="117"/>
      <c r="BJ96" s="117"/>
      <c r="BK96" s="119"/>
      <c r="BL96" s="113"/>
      <c r="BM96" s="116"/>
      <c r="BN96" s="95"/>
      <c r="BO96" s="117"/>
      <c r="BP96" s="113"/>
      <c r="BQ96" s="111"/>
      <c r="BR96" s="111"/>
      <c r="BS96" s="111"/>
      <c r="BT96" s="111"/>
      <c r="BU96" s="111"/>
    </row>
    <row r="97" spans="1:73" ht="12.75">
      <c r="A97" s="94">
        <v>40618</v>
      </c>
      <c r="B97" s="2" t="s">
        <v>37</v>
      </c>
      <c r="C97" s="63"/>
      <c r="K97" s="99"/>
      <c r="Z97" s="71"/>
      <c r="AA97" s="73"/>
      <c r="AB97" s="71"/>
      <c r="AC97" s="35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95"/>
      <c r="AS97" s="116"/>
      <c r="AT97" s="116"/>
      <c r="AU97" s="116"/>
      <c r="AV97" s="116"/>
      <c r="AW97" s="95"/>
      <c r="AX97" s="95"/>
      <c r="AY97" s="95"/>
      <c r="AZ97" s="95"/>
      <c r="BA97" s="113"/>
      <c r="BB97" s="113"/>
      <c r="BC97" s="116"/>
      <c r="BD97" s="116"/>
      <c r="BE97" s="120"/>
      <c r="BF97" s="117"/>
      <c r="BG97" s="118"/>
      <c r="BH97" s="117"/>
      <c r="BI97" s="117"/>
      <c r="BJ97" s="117"/>
      <c r="BK97" s="119"/>
      <c r="BL97" s="113"/>
      <c r="BM97" s="116"/>
      <c r="BN97" s="95"/>
      <c r="BO97" s="117"/>
      <c r="BP97" s="113"/>
      <c r="BQ97" s="111"/>
      <c r="BR97" s="111"/>
      <c r="BS97" s="111"/>
      <c r="BT97" s="111"/>
      <c r="BU97" s="111"/>
    </row>
    <row r="98" spans="1:73" s="125" customFormat="1" ht="12.75">
      <c r="A98" s="122">
        <v>40631</v>
      </c>
      <c r="B98" s="123" t="s">
        <v>37</v>
      </c>
      <c r="C98" s="124">
        <v>1059804</v>
      </c>
      <c r="E98" s="123">
        <v>0.006</v>
      </c>
      <c r="F98" s="126">
        <v>0.002</v>
      </c>
      <c r="G98" s="127">
        <v>0.02993</v>
      </c>
      <c r="H98" s="127">
        <v>1.332</v>
      </c>
      <c r="I98" s="128">
        <v>0.01</v>
      </c>
      <c r="J98" s="129">
        <v>0.03695</v>
      </c>
      <c r="K98" s="130">
        <v>0.005</v>
      </c>
      <c r="L98" s="123">
        <v>0.1</v>
      </c>
      <c r="M98" s="131">
        <v>0.4677</v>
      </c>
      <c r="N98" s="126">
        <v>0.2904</v>
      </c>
      <c r="O98" s="131">
        <v>2.72</v>
      </c>
      <c r="P98" s="129">
        <v>0.5888</v>
      </c>
      <c r="Q98" s="129">
        <v>2.536</v>
      </c>
      <c r="R98" s="132">
        <v>6.271</v>
      </c>
      <c r="S98" s="123">
        <v>17.9</v>
      </c>
      <c r="T98" s="133">
        <v>19.19</v>
      </c>
      <c r="U98" s="132">
        <v>0.05</v>
      </c>
      <c r="W98" s="123">
        <v>0.002</v>
      </c>
      <c r="X98" s="134">
        <v>0.002</v>
      </c>
      <c r="Y98" s="135">
        <v>1.11</v>
      </c>
      <c r="Z98" s="123">
        <v>0.01</v>
      </c>
      <c r="AA98" s="127">
        <v>-0.03695</v>
      </c>
      <c r="AB98" s="136"/>
      <c r="AC98" s="137"/>
      <c r="AD98" s="129">
        <v>0.04365</v>
      </c>
      <c r="AE98" s="139">
        <f t="shared" si="72"/>
        <v>0.2142857142857143</v>
      </c>
      <c r="AF98" s="139">
        <f t="shared" si="73"/>
        <v>0.07272727272727272</v>
      </c>
      <c r="AG98" s="139">
        <f t="shared" si="74"/>
        <v>3.3255555555555554</v>
      </c>
      <c r="AH98" s="139">
        <f t="shared" si="75"/>
        <v>190.2857142857143</v>
      </c>
      <c r="AI98" s="139">
        <f t="shared" si="76"/>
        <v>0.7142857142857143</v>
      </c>
      <c r="AJ98" s="139">
        <f t="shared" si="77"/>
        <v>2.6392857142857142</v>
      </c>
      <c r="AK98" s="139">
        <f t="shared" si="78"/>
        <v>0.4838709677419355</v>
      </c>
      <c r="AL98" s="139">
        <f t="shared" si="79"/>
        <v>2.5641025641025643</v>
      </c>
      <c r="AM98" s="139">
        <f t="shared" si="80"/>
        <v>23.384999999999998</v>
      </c>
      <c r="AN98" s="139">
        <f t="shared" si="81"/>
        <v>24.2</v>
      </c>
      <c r="AO98" s="139">
        <f t="shared" si="82"/>
        <v>118.2608695652174</v>
      </c>
      <c r="AP98" s="139">
        <f t="shared" si="83"/>
        <v>36.8</v>
      </c>
      <c r="AQ98" s="139">
        <f t="shared" si="84"/>
        <v>72.45714285714286</v>
      </c>
      <c r="AR98" s="140">
        <f t="shared" si="85"/>
        <v>0.5357966575133416</v>
      </c>
      <c r="AS98" s="139">
        <f t="shared" si="86"/>
        <v>4.838709677419355</v>
      </c>
      <c r="AT98" s="139"/>
      <c r="AU98" s="139">
        <f t="shared" si="87"/>
        <v>0.06349206349206349</v>
      </c>
      <c r="AV98" s="139">
        <f t="shared" si="88"/>
        <v>0.061538461538461535</v>
      </c>
      <c r="AW98" s="140">
        <f t="shared" si="89"/>
        <v>0.7142857142857143</v>
      </c>
      <c r="AX98" s="140">
        <f t="shared" si="90"/>
        <v>-2.6392857142857142</v>
      </c>
      <c r="AY98" s="140"/>
      <c r="AZ98" s="140">
        <f t="shared" si="91"/>
        <v>3.3535714285714286</v>
      </c>
      <c r="BA98" s="138"/>
      <c r="BB98" s="138"/>
      <c r="BC98" s="139">
        <f t="shared" si="92"/>
        <v>169.12425784360568</v>
      </c>
      <c r="BD98" s="139">
        <f t="shared" si="93"/>
        <v>111.89642857142857</v>
      </c>
      <c r="BE98" s="43">
        <f t="shared" si="94"/>
        <v>20.364276382009255</v>
      </c>
      <c r="BF98" s="141">
        <f>(('[1]setup'!$B$13*'[1]setup'!$B$14*'[1]setup'!$B$15)/10^(-R98))*10^6</f>
        <v>22.130631338481045</v>
      </c>
      <c r="BG98" s="142">
        <f t="shared" si="95"/>
        <v>10.442334013117488</v>
      </c>
      <c r="BH98" s="141">
        <f t="shared" si="96"/>
        <v>57.22782927217713</v>
      </c>
      <c r="BI98" s="141">
        <f t="shared" si="97"/>
        <v>169.66005450111905</v>
      </c>
      <c r="BJ98" s="141">
        <f t="shared" si="98"/>
        <v>144.4693939230271</v>
      </c>
      <c r="BK98" s="143">
        <f t="shared" si="99"/>
        <v>8.019197405548184</v>
      </c>
      <c r="BL98" s="138"/>
      <c r="BM98" s="139">
        <f>(3*('[1]setup'!$D$19*(10^-R98)^3)+2*('[1]setup'!$D$20*'[1]setup'!$D$19*((10^-R98)^2))+('[1]setup'!$D$21*'[1]setup'!$D$19*10^-R98)+('[1]setup'!$D$19*'[1]setup'!$D$22*(AP98/(10^6*2))*(10^-R98)^3))*10^6</f>
        <v>0.0007015954097510111</v>
      </c>
      <c r="BN98" s="140">
        <f t="shared" si="100"/>
        <v>35.633696186619176</v>
      </c>
      <c r="BO98" s="141">
        <f>(BN98/((('[1]setup'!$C$26)/10^-R98)+2*(('[1]setup'!$C$26*'[1]setup'!$C$27)/(10^-R98^2))+3*(('[1]setup'!$C$26*'[1]setup'!$C$27*'[1]setup'!$C$28)/(10^-R98^3))))/(10^-R98^3/(10^-R98^3+'[1]setup'!$C$26*10^-R98^2+'[1]setup'!$C$26*'[1]setup'!$C$27*10^-R98+'[1]setup'!$C$26*'[1]setup'!$C$27*'[1]setup'!$C$28))</f>
        <v>14.98243711451496</v>
      </c>
      <c r="BP98" s="138"/>
      <c r="BQ98" s="144">
        <f t="shared" si="67"/>
        <v>169.12425784360568</v>
      </c>
      <c r="BR98" s="144">
        <f t="shared" si="68"/>
        <v>111.89642857142857</v>
      </c>
      <c r="BS98" s="144">
        <f t="shared" si="69"/>
        <v>1.5114357089211832</v>
      </c>
      <c r="BT98" s="144">
        <f t="shared" si="70"/>
        <v>56.51354355789138</v>
      </c>
      <c r="BU98" s="144">
        <f t="shared" si="71"/>
        <v>1.6321492250720069</v>
      </c>
    </row>
    <row r="99" spans="31:63" s="97" customFormat="1" ht="12.75"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C99" s="95"/>
      <c r="BD99" s="95"/>
      <c r="BE99" s="95"/>
      <c r="BF99" s="95"/>
      <c r="BG99" s="95"/>
      <c r="BH99" s="95"/>
      <c r="BI99" s="95"/>
      <c r="BJ99" s="95"/>
      <c r="BK99" s="95"/>
    </row>
    <row r="100" spans="5:73" ht="12.75">
      <c r="E100" s="9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95"/>
      <c r="AS100" s="116"/>
      <c r="AT100" s="116"/>
      <c r="AU100" s="116"/>
      <c r="AV100" s="116"/>
      <c r="AW100" s="95"/>
      <c r="AX100" s="95"/>
      <c r="AY100" s="95"/>
      <c r="AZ100" s="95"/>
      <c r="BA100" s="113"/>
      <c r="BB100" s="113"/>
      <c r="BC100" s="116"/>
      <c r="BD100" s="116"/>
      <c r="BE100" s="120"/>
      <c r="BF100" s="117"/>
      <c r="BG100" s="118"/>
      <c r="BH100" s="117"/>
      <c r="BI100" s="117"/>
      <c r="BJ100" s="117"/>
      <c r="BK100" s="119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</row>
    <row r="101" spans="31:73" ht="12.75"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95"/>
      <c r="AS101" s="116"/>
      <c r="AT101" s="116"/>
      <c r="AU101" s="116"/>
      <c r="AV101" s="116"/>
      <c r="AW101" s="95"/>
      <c r="AX101" s="95"/>
      <c r="AY101" s="95"/>
      <c r="AZ101" s="95"/>
      <c r="BA101" s="113"/>
      <c r="BB101" s="113"/>
      <c r="BC101" s="116"/>
      <c r="BD101" s="116"/>
      <c r="BE101" s="120"/>
      <c r="BF101" s="117"/>
      <c r="BG101" s="118"/>
      <c r="BH101" s="117"/>
      <c r="BI101" s="117"/>
      <c r="BJ101" s="117"/>
      <c r="BK101" s="119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</row>
    <row r="102" spans="31:73" ht="12.75"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</row>
    <row r="103" spans="31:73" ht="12.75"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95"/>
      <c r="AS103" s="116"/>
      <c r="AT103" s="116"/>
      <c r="AU103" s="116"/>
      <c r="AV103" s="116"/>
      <c r="AW103" s="95"/>
      <c r="AX103" s="95"/>
      <c r="AY103" s="95"/>
      <c r="AZ103" s="95"/>
      <c r="BA103" s="113"/>
      <c r="BB103" s="113"/>
      <c r="BC103" s="116"/>
      <c r="BD103" s="116"/>
      <c r="BE103" s="120"/>
      <c r="BF103" s="117"/>
      <c r="BG103" s="118"/>
      <c r="BH103" s="117"/>
      <c r="BI103" s="117"/>
      <c r="BJ103" s="117"/>
      <c r="BK103" s="119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</row>
    <row r="104" spans="31:73" ht="12.75"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</row>
    <row r="105" spans="1:73" ht="12.75">
      <c r="A105" s="69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95"/>
      <c r="AS105" s="116"/>
      <c r="AT105" s="116"/>
      <c r="AU105" s="116"/>
      <c r="AV105" s="116"/>
      <c r="AW105" s="95"/>
      <c r="AX105" s="95"/>
      <c r="AY105" s="95"/>
      <c r="AZ105" s="95"/>
      <c r="BA105" s="113"/>
      <c r="BB105" s="113"/>
      <c r="BC105" s="116"/>
      <c r="BD105" s="116"/>
      <c r="BE105" s="120"/>
      <c r="BF105" s="117"/>
      <c r="BG105" s="118"/>
      <c r="BH105" s="117"/>
      <c r="BI105" s="117"/>
      <c r="BJ105" s="117"/>
      <c r="BK105" s="119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</row>
    <row r="106" spans="31:73" ht="12.75"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95"/>
      <c r="AS106" s="116"/>
      <c r="AT106" s="116"/>
      <c r="AU106" s="116"/>
      <c r="AV106" s="116"/>
      <c r="AW106" s="95"/>
      <c r="AX106" s="95"/>
      <c r="AY106" s="95"/>
      <c r="AZ106" s="95"/>
      <c r="BA106" s="113"/>
      <c r="BB106" s="113"/>
      <c r="BC106" s="116"/>
      <c r="BD106" s="116"/>
      <c r="BE106" s="120"/>
      <c r="BF106" s="117"/>
      <c r="BG106" s="118"/>
      <c r="BH106" s="117"/>
      <c r="BI106" s="117"/>
      <c r="BJ106" s="117"/>
      <c r="BK106" s="119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</row>
    <row r="107" spans="31:73" ht="12.75"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95"/>
      <c r="AS107" s="116"/>
      <c r="AT107" s="116"/>
      <c r="AU107" s="116"/>
      <c r="AV107" s="116"/>
      <c r="AW107" s="95"/>
      <c r="AX107" s="95"/>
      <c r="AY107" s="95"/>
      <c r="AZ107" s="95"/>
      <c r="BA107" s="113"/>
      <c r="BB107" s="113"/>
      <c r="BC107" s="116"/>
      <c r="BD107" s="116"/>
      <c r="BE107" s="120"/>
      <c r="BF107" s="117"/>
      <c r="BG107" s="118"/>
      <c r="BH107" s="117"/>
      <c r="BI107" s="117"/>
      <c r="BJ107" s="117"/>
      <c r="BK107" s="119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</row>
    <row r="108" spans="31:73" ht="12.75"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95"/>
      <c r="AS108" s="116"/>
      <c r="AT108" s="116"/>
      <c r="AU108" s="116"/>
      <c r="AV108" s="116"/>
      <c r="AW108" s="95"/>
      <c r="AX108" s="95"/>
      <c r="AY108" s="95"/>
      <c r="AZ108" s="95"/>
      <c r="BA108" s="113"/>
      <c r="BB108" s="113"/>
      <c r="BC108" s="116"/>
      <c r="BD108" s="116"/>
      <c r="BE108" s="120"/>
      <c r="BF108" s="117"/>
      <c r="BG108" s="118"/>
      <c r="BH108" s="117"/>
      <c r="BI108" s="117"/>
      <c r="BJ108" s="117"/>
      <c r="BK108" s="119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</row>
    <row r="109" spans="31:73" ht="12.75"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95"/>
      <c r="AS109" s="116"/>
      <c r="AT109" s="116"/>
      <c r="AU109" s="116"/>
      <c r="AV109" s="116"/>
      <c r="AW109" s="95"/>
      <c r="AX109" s="95"/>
      <c r="AY109" s="95"/>
      <c r="AZ109" s="95"/>
      <c r="BA109" s="113"/>
      <c r="BB109" s="113"/>
      <c r="BC109" s="116"/>
      <c r="BD109" s="116"/>
      <c r="BE109" s="120"/>
      <c r="BF109" s="117"/>
      <c r="BG109" s="118"/>
      <c r="BH109" s="117"/>
      <c r="BI109" s="117"/>
      <c r="BJ109" s="117"/>
      <c r="BK109" s="119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</row>
    <row r="110" spans="31:73" ht="12.75"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95"/>
      <c r="AS110" s="116"/>
      <c r="AT110" s="116"/>
      <c r="AU110" s="116"/>
      <c r="AV110" s="116"/>
      <c r="AW110" s="95"/>
      <c r="AX110" s="95"/>
      <c r="AY110" s="95"/>
      <c r="AZ110" s="95"/>
      <c r="BA110" s="113"/>
      <c r="BB110" s="113"/>
      <c r="BC110" s="116"/>
      <c r="BD110" s="116"/>
      <c r="BE110" s="120"/>
      <c r="BF110" s="117"/>
      <c r="BG110" s="118"/>
      <c r="BH110" s="117"/>
      <c r="BI110" s="117"/>
      <c r="BJ110" s="117"/>
      <c r="BK110" s="119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</row>
    <row r="111" spans="31:73" ht="12.75"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95"/>
      <c r="AS111" s="116"/>
      <c r="AT111" s="116"/>
      <c r="AU111" s="116"/>
      <c r="AV111" s="116"/>
      <c r="AW111" s="95"/>
      <c r="AX111" s="95"/>
      <c r="AY111" s="95"/>
      <c r="AZ111" s="95"/>
      <c r="BA111" s="113"/>
      <c r="BB111" s="113"/>
      <c r="BC111" s="116"/>
      <c r="BD111" s="116"/>
      <c r="BE111" s="120"/>
      <c r="BF111" s="117"/>
      <c r="BG111" s="118"/>
      <c r="BH111" s="117"/>
      <c r="BI111" s="117"/>
      <c r="BJ111" s="117"/>
      <c r="BK111" s="119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</row>
    <row r="112" spans="31:73" ht="12.75"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95"/>
      <c r="AS112" s="116"/>
      <c r="AT112" s="116"/>
      <c r="AU112" s="116"/>
      <c r="AV112" s="116"/>
      <c r="AW112" s="95"/>
      <c r="AX112" s="95"/>
      <c r="AY112" s="95"/>
      <c r="AZ112" s="95"/>
      <c r="BA112" s="113"/>
      <c r="BB112" s="113"/>
      <c r="BC112" s="116"/>
      <c r="BD112" s="116"/>
      <c r="BE112" s="120"/>
      <c r="BF112" s="117"/>
      <c r="BG112" s="118"/>
      <c r="BH112" s="117"/>
      <c r="BI112" s="117"/>
      <c r="BJ112" s="117"/>
      <c r="BK112" s="119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</row>
    <row r="113" spans="31:73" ht="12.75"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95"/>
      <c r="AS113" s="116"/>
      <c r="AT113" s="116"/>
      <c r="AU113" s="116"/>
      <c r="AV113" s="116"/>
      <c r="AW113" s="95"/>
      <c r="AX113" s="95"/>
      <c r="AY113" s="95"/>
      <c r="AZ113" s="95"/>
      <c r="BA113" s="113"/>
      <c r="BB113" s="113"/>
      <c r="BC113" s="116"/>
      <c r="BD113" s="116"/>
      <c r="BE113" s="120"/>
      <c r="BF113" s="117"/>
      <c r="BG113" s="118"/>
      <c r="BH113" s="117"/>
      <c r="BI113" s="117"/>
      <c r="BJ113" s="117"/>
      <c r="BK113" s="119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</row>
    <row r="114" spans="31:73" ht="12.75"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95"/>
      <c r="AS114" s="116"/>
      <c r="AT114" s="116"/>
      <c r="AU114" s="116"/>
      <c r="AV114" s="116"/>
      <c r="AW114" s="95"/>
      <c r="AX114" s="95"/>
      <c r="AY114" s="95"/>
      <c r="AZ114" s="95"/>
      <c r="BA114" s="113"/>
      <c r="BB114" s="113"/>
      <c r="BC114" s="116"/>
      <c r="BD114" s="116"/>
      <c r="BE114" s="120"/>
      <c r="BF114" s="117"/>
      <c r="BG114" s="118"/>
      <c r="BH114" s="117"/>
      <c r="BI114" s="117"/>
      <c r="BJ114" s="117"/>
      <c r="BK114" s="119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</row>
    <row r="115" spans="31:73" ht="12.75"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95"/>
      <c r="AS115" s="116"/>
      <c r="AT115" s="116"/>
      <c r="AU115" s="116"/>
      <c r="AV115" s="116"/>
      <c r="AW115" s="95"/>
      <c r="AX115" s="95"/>
      <c r="AY115" s="95"/>
      <c r="AZ115" s="95"/>
      <c r="BA115" s="113"/>
      <c r="BB115" s="113"/>
      <c r="BC115" s="116"/>
      <c r="BD115" s="116"/>
      <c r="BE115" s="120"/>
      <c r="BF115" s="117"/>
      <c r="BG115" s="118"/>
      <c r="BH115" s="117"/>
      <c r="BI115" s="117"/>
      <c r="BJ115" s="117"/>
      <c r="BK115" s="119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</row>
    <row r="116" spans="31:73" ht="12.75"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95"/>
      <c r="AS116" s="116"/>
      <c r="AT116" s="116"/>
      <c r="AU116" s="116"/>
      <c r="AV116" s="116"/>
      <c r="AW116" s="95"/>
      <c r="AX116" s="95"/>
      <c r="AY116" s="95"/>
      <c r="AZ116" s="95"/>
      <c r="BA116" s="113"/>
      <c r="BB116" s="113"/>
      <c r="BC116" s="116"/>
      <c r="BD116" s="116"/>
      <c r="BE116" s="120"/>
      <c r="BF116" s="117"/>
      <c r="BG116" s="118"/>
      <c r="BH116" s="117"/>
      <c r="BI116" s="117"/>
      <c r="BJ116" s="117"/>
      <c r="BK116" s="119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</row>
    <row r="117" spans="31:73" ht="12.75"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95"/>
      <c r="AS117" s="116"/>
      <c r="AT117" s="116"/>
      <c r="AU117" s="116"/>
      <c r="AV117" s="116"/>
      <c r="AW117" s="95"/>
      <c r="AX117" s="95"/>
      <c r="AY117" s="95"/>
      <c r="AZ117" s="95"/>
      <c r="BA117" s="113"/>
      <c r="BB117" s="113"/>
      <c r="BC117" s="116"/>
      <c r="BD117" s="116"/>
      <c r="BE117" s="120"/>
      <c r="BF117" s="117"/>
      <c r="BG117" s="118"/>
      <c r="BH117" s="117"/>
      <c r="BI117" s="117"/>
      <c r="BJ117" s="117"/>
      <c r="BK117" s="119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</row>
    <row r="118" spans="31:73" ht="12.75"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95"/>
      <c r="AS118" s="116"/>
      <c r="AT118" s="116"/>
      <c r="AU118" s="116"/>
      <c r="AV118" s="116"/>
      <c r="AW118" s="95"/>
      <c r="AX118" s="95"/>
      <c r="AY118" s="95"/>
      <c r="AZ118" s="95"/>
      <c r="BA118" s="113"/>
      <c r="BB118" s="113"/>
      <c r="BC118" s="116"/>
      <c r="BD118" s="116"/>
      <c r="BE118" s="120"/>
      <c r="BF118" s="117"/>
      <c r="BG118" s="118"/>
      <c r="BH118" s="117"/>
      <c r="BI118" s="117"/>
      <c r="BJ118" s="117"/>
      <c r="BK118" s="119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</row>
    <row r="119" spans="31:73" ht="12.75"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95"/>
      <c r="AS119" s="116"/>
      <c r="AT119" s="116"/>
      <c r="AU119" s="116"/>
      <c r="AV119" s="116"/>
      <c r="AW119" s="95"/>
      <c r="AX119" s="95"/>
      <c r="AY119" s="95"/>
      <c r="AZ119" s="95"/>
      <c r="BA119" s="113"/>
      <c r="BB119" s="113"/>
      <c r="BC119" s="116"/>
      <c r="BD119" s="116"/>
      <c r="BE119" s="120"/>
      <c r="BF119" s="117"/>
      <c r="BG119" s="118"/>
      <c r="BH119" s="117"/>
      <c r="BI119" s="117"/>
      <c r="BJ119" s="117"/>
      <c r="BK119" s="119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</row>
    <row r="120" spans="31:73" ht="12.75"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95"/>
      <c r="AS120" s="116"/>
      <c r="AT120" s="116"/>
      <c r="AU120" s="116"/>
      <c r="AV120" s="116"/>
      <c r="AW120" s="95"/>
      <c r="AX120" s="95"/>
      <c r="AY120" s="95"/>
      <c r="AZ120" s="95"/>
      <c r="BA120" s="113"/>
      <c r="BB120" s="113"/>
      <c r="BC120" s="116"/>
      <c r="BD120" s="116"/>
      <c r="BE120" s="120"/>
      <c r="BF120" s="117"/>
      <c r="BG120" s="118"/>
      <c r="BH120" s="117"/>
      <c r="BI120" s="117"/>
      <c r="BJ120" s="117"/>
      <c r="BK120" s="119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</row>
    <row r="121" spans="31:63" ht="12.75"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50"/>
      <c r="AS121" s="49"/>
      <c r="AT121" s="49"/>
      <c r="AU121" s="49"/>
      <c r="AV121" s="49"/>
      <c r="AW121" s="50"/>
      <c r="AX121" s="50"/>
      <c r="AY121" s="50"/>
      <c r="AZ121" s="50"/>
      <c r="BC121" s="55"/>
      <c r="BD121" s="55"/>
      <c r="BE121" s="56"/>
      <c r="BF121" s="52"/>
      <c r="BG121" s="53"/>
      <c r="BH121" s="52"/>
      <c r="BI121" s="52"/>
      <c r="BJ121" s="52"/>
      <c r="BK121" s="54"/>
    </row>
    <row r="122" spans="31:63" ht="12.75"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50"/>
      <c r="AS122" s="49"/>
      <c r="AT122" s="49"/>
      <c r="AU122" s="49"/>
      <c r="AV122" s="49"/>
      <c r="AW122" s="50"/>
      <c r="AX122" s="50"/>
      <c r="AY122" s="50"/>
      <c r="AZ122" s="50"/>
      <c r="BC122" s="55"/>
      <c r="BD122" s="55"/>
      <c r="BE122" s="56"/>
      <c r="BF122" s="52"/>
      <c r="BG122" s="53"/>
      <c r="BH122" s="52"/>
      <c r="BI122" s="52"/>
      <c r="BJ122" s="52"/>
      <c r="BK122" s="54"/>
    </row>
    <row r="123" spans="31:63" ht="12.75"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50"/>
      <c r="AS123" s="49"/>
      <c r="AT123" s="49"/>
      <c r="AU123" s="49"/>
      <c r="AV123" s="49"/>
      <c r="AW123" s="50"/>
      <c r="AX123" s="50"/>
      <c r="AY123" s="50"/>
      <c r="AZ123" s="50"/>
      <c r="BC123" s="55"/>
      <c r="BD123" s="55"/>
      <c r="BE123" s="56"/>
      <c r="BF123" s="52"/>
      <c r="BG123" s="53"/>
      <c r="BH123" s="52"/>
      <c r="BI123" s="52"/>
      <c r="BJ123" s="52"/>
      <c r="BK123" s="54"/>
    </row>
    <row r="124" spans="31:63" ht="12.75"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50"/>
      <c r="AS124" s="49"/>
      <c r="AT124" s="49"/>
      <c r="AU124" s="49"/>
      <c r="AV124" s="49"/>
      <c r="AW124" s="50"/>
      <c r="AX124" s="50"/>
      <c r="AY124" s="50"/>
      <c r="AZ124" s="50"/>
      <c r="BC124" s="55"/>
      <c r="BD124" s="55"/>
      <c r="BE124" s="56"/>
      <c r="BF124" s="52"/>
      <c r="BG124" s="53"/>
      <c r="BH124" s="52"/>
      <c r="BI124" s="52"/>
      <c r="BJ124" s="52"/>
      <c r="BK124" s="54"/>
    </row>
    <row r="125" spans="31:63" ht="12.75"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50"/>
      <c r="AS125" s="49"/>
      <c r="AT125" s="49"/>
      <c r="AU125" s="49"/>
      <c r="AV125" s="49"/>
      <c r="AW125" s="50"/>
      <c r="AX125" s="50"/>
      <c r="AY125" s="50"/>
      <c r="AZ125" s="50"/>
      <c r="BC125" s="55"/>
      <c r="BD125" s="55"/>
      <c r="BE125" s="56"/>
      <c r="BF125" s="52"/>
      <c r="BG125" s="53"/>
      <c r="BH125" s="52"/>
      <c r="BI125" s="52"/>
      <c r="BJ125" s="52"/>
      <c r="BK125" s="54"/>
    </row>
    <row r="126" spans="31:63" ht="12.75"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50"/>
      <c r="AS126" s="49"/>
      <c r="AT126" s="49"/>
      <c r="AU126" s="49"/>
      <c r="AV126" s="49"/>
      <c r="AW126" s="50"/>
      <c r="AX126" s="50"/>
      <c r="AY126" s="50"/>
      <c r="AZ126" s="50"/>
      <c r="BC126" s="55"/>
      <c r="BD126" s="55"/>
      <c r="BE126" s="56"/>
      <c r="BF126" s="52"/>
      <c r="BG126" s="53"/>
      <c r="BH126" s="52"/>
      <c r="BI126" s="52"/>
      <c r="BJ126" s="52"/>
      <c r="BK126" s="54"/>
    </row>
    <row r="127" spans="31:63" ht="12.75"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50"/>
      <c r="AS127" s="49"/>
      <c r="AT127" s="49"/>
      <c r="AU127" s="49"/>
      <c r="AV127" s="49"/>
      <c r="AW127" s="50"/>
      <c r="AX127" s="50"/>
      <c r="AY127" s="50"/>
      <c r="AZ127" s="50"/>
      <c r="BC127" s="55"/>
      <c r="BD127" s="55"/>
      <c r="BE127" s="56"/>
      <c r="BF127" s="52"/>
      <c r="BG127" s="53"/>
      <c r="BH127" s="52"/>
      <c r="BI127" s="52"/>
      <c r="BJ127" s="52"/>
      <c r="BK127" s="54"/>
    </row>
    <row r="128" spans="31:63" ht="12.75"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50"/>
      <c r="AS128" s="49"/>
      <c r="AT128" s="49"/>
      <c r="AU128" s="49"/>
      <c r="AV128" s="49"/>
      <c r="AW128" s="50"/>
      <c r="AX128" s="50"/>
      <c r="AY128" s="50"/>
      <c r="AZ128" s="50"/>
      <c r="BC128" s="55"/>
      <c r="BD128" s="55"/>
      <c r="BE128" s="56"/>
      <c r="BF128" s="52"/>
      <c r="BG128" s="53"/>
      <c r="BH128" s="52"/>
      <c r="BI128" s="52"/>
      <c r="BJ128" s="52"/>
      <c r="BK128" s="54"/>
    </row>
    <row r="129" spans="31:63" ht="12.75"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50"/>
      <c r="AS129" s="49"/>
      <c r="AT129" s="49"/>
      <c r="AU129" s="49"/>
      <c r="AV129" s="49"/>
      <c r="AW129" s="50"/>
      <c r="AX129" s="50"/>
      <c r="AY129" s="50"/>
      <c r="AZ129" s="50"/>
      <c r="BC129" s="55"/>
      <c r="BD129" s="55"/>
      <c r="BE129" s="56"/>
      <c r="BF129" s="52"/>
      <c r="BG129" s="53"/>
      <c r="BH129" s="52"/>
      <c r="BI129" s="52"/>
      <c r="BJ129" s="52"/>
      <c r="BK129" s="54"/>
    </row>
    <row r="130" spans="31:63" ht="12.75"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50"/>
      <c r="AS130" s="49"/>
      <c r="AT130" s="49"/>
      <c r="AU130" s="49"/>
      <c r="AV130" s="49"/>
      <c r="AW130" s="50"/>
      <c r="AX130" s="50"/>
      <c r="AY130" s="50"/>
      <c r="AZ130" s="50"/>
      <c r="BC130" s="55"/>
      <c r="BD130" s="55"/>
      <c r="BE130" s="56"/>
      <c r="BF130" s="52"/>
      <c r="BG130" s="53"/>
      <c r="BH130" s="52"/>
      <c r="BI130" s="52"/>
      <c r="BJ130" s="52"/>
      <c r="BK130" s="54"/>
    </row>
    <row r="131" spans="31:63" ht="12.75"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50"/>
      <c r="AS131" s="49"/>
      <c r="AT131" s="49"/>
      <c r="AU131" s="49"/>
      <c r="AV131" s="49"/>
      <c r="AW131" s="50"/>
      <c r="AX131" s="50"/>
      <c r="AY131" s="50"/>
      <c r="AZ131" s="50"/>
      <c r="BC131" s="55"/>
      <c r="BD131" s="55"/>
      <c r="BE131" s="56"/>
      <c r="BF131" s="52"/>
      <c r="BG131" s="53"/>
      <c r="BH131" s="52"/>
      <c r="BI131" s="52"/>
      <c r="BJ131" s="52"/>
      <c r="BK131" s="54"/>
    </row>
    <row r="132" spans="31:63" ht="12.75"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50"/>
      <c r="AS132" s="49"/>
      <c r="AT132" s="49"/>
      <c r="AU132" s="49"/>
      <c r="AV132" s="49"/>
      <c r="AW132" s="50"/>
      <c r="AX132" s="50"/>
      <c r="AY132" s="50"/>
      <c r="AZ132" s="50"/>
      <c r="BC132" s="55"/>
      <c r="BD132" s="55"/>
      <c r="BE132" s="56"/>
      <c r="BF132" s="52"/>
      <c r="BG132" s="53"/>
      <c r="BH132" s="52"/>
      <c r="BI132" s="52"/>
      <c r="BJ132" s="52"/>
      <c r="BK132" s="54"/>
    </row>
    <row r="133" spans="31:63" ht="12.75"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50"/>
      <c r="AS133" s="49"/>
      <c r="AT133" s="49"/>
      <c r="AU133" s="49"/>
      <c r="AV133" s="49"/>
      <c r="AW133" s="50"/>
      <c r="AX133" s="50"/>
      <c r="AY133" s="50"/>
      <c r="AZ133" s="50"/>
      <c r="BC133" s="55"/>
      <c r="BD133" s="55"/>
      <c r="BE133" s="56"/>
      <c r="BF133" s="52"/>
      <c r="BG133" s="53"/>
      <c r="BH133" s="52"/>
      <c r="BI133" s="52"/>
      <c r="BJ133" s="52"/>
      <c r="BK133" s="54"/>
    </row>
    <row r="134" spans="31:63" ht="12.75"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50"/>
      <c r="AS134" s="49"/>
      <c r="AT134" s="49"/>
      <c r="AU134" s="49"/>
      <c r="AV134" s="49"/>
      <c r="AW134" s="50"/>
      <c r="AX134" s="50"/>
      <c r="AY134" s="50"/>
      <c r="AZ134" s="50"/>
      <c r="BC134" s="55"/>
      <c r="BD134" s="55"/>
      <c r="BE134" s="56"/>
      <c r="BF134" s="52"/>
      <c r="BG134" s="53"/>
      <c r="BH134" s="52"/>
      <c r="BI134" s="52"/>
      <c r="BJ134" s="52"/>
      <c r="BK134" s="54"/>
    </row>
    <row r="135" spans="31:63" ht="12.75"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50"/>
      <c r="AS135" s="49"/>
      <c r="AT135" s="49"/>
      <c r="AU135" s="49"/>
      <c r="AV135" s="49"/>
      <c r="AW135" s="50"/>
      <c r="AX135" s="50"/>
      <c r="AY135" s="50"/>
      <c r="AZ135" s="50"/>
      <c r="BC135" s="55"/>
      <c r="BD135" s="55"/>
      <c r="BE135" s="56"/>
      <c r="BF135" s="52"/>
      <c r="BG135" s="53"/>
      <c r="BH135" s="52"/>
      <c r="BI135" s="52"/>
      <c r="BJ135" s="52"/>
      <c r="BK135" s="54"/>
    </row>
    <row r="136" spans="31:63" ht="12.75"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50"/>
      <c r="AS136" s="49"/>
      <c r="AT136" s="49"/>
      <c r="AU136" s="49"/>
      <c r="AV136" s="49"/>
      <c r="AW136" s="50"/>
      <c r="AX136" s="50"/>
      <c r="AY136" s="50"/>
      <c r="AZ136" s="50"/>
      <c r="BC136" s="55"/>
      <c r="BD136" s="55"/>
      <c r="BE136" s="56"/>
      <c r="BF136" s="52"/>
      <c r="BG136" s="53"/>
      <c r="BH136" s="52"/>
      <c r="BI136" s="52"/>
      <c r="BJ136" s="52"/>
      <c r="BK136" s="54"/>
    </row>
    <row r="137" spans="31:63" ht="12.75"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50"/>
      <c r="AS137" s="49"/>
      <c r="AT137" s="49"/>
      <c r="AU137" s="49"/>
      <c r="AV137" s="49"/>
      <c r="AW137" s="50"/>
      <c r="AX137" s="50"/>
      <c r="AY137" s="50"/>
      <c r="AZ137" s="50"/>
      <c r="BC137" s="55"/>
      <c r="BD137" s="55"/>
      <c r="BE137" s="56"/>
      <c r="BF137" s="52"/>
      <c r="BG137" s="53"/>
      <c r="BH137" s="52"/>
      <c r="BI137" s="52"/>
      <c r="BJ137" s="52"/>
      <c r="BK137" s="54"/>
    </row>
    <row r="138" spans="31:63" ht="12.75"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50"/>
      <c r="AS138" s="49"/>
      <c r="AT138" s="49"/>
      <c r="AU138" s="49"/>
      <c r="AV138" s="49"/>
      <c r="AW138" s="50"/>
      <c r="AX138" s="50"/>
      <c r="AY138" s="50"/>
      <c r="AZ138" s="50"/>
      <c r="BC138" s="55"/>
      <c r="BD138" s="55"/>
      <c r="BE138" s="56"/>
      <c r="BF138" s="52"/>
      <c r="BG138" s="53"/>
      <c r="BH138" s="52"/>
      <c r="BI138" s="52"/>
      <c r="BJ138" s="52"/>
      <c r="BK138" s="54"/>
    </row>
    <row r="139" spans="31:63" ht="12.75"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50"/>
      <c r="AS139" s="49"/>
      <c r="AT139" s="49"/>
      <c r="AU139" s="49"/>
      <c r="AV139" s="49"/>
      <c r="AW139" s="50"/>
      <c r="AX139" s="50"/>
      <c r="AY139" s="50"/>
      <c r="AZ139" s="50"/>
      <c r="BC139" s="55"/>
      <c r="BD139" s="55"/>
      <c r="BE139" s="56"/>
      <c r="BF139" s="52"/>
      <c r="BG139" s="53"/>
      <c r="BH139" s="52"/>
      <c r="BI139" s="52"/>
      <c r="BJ139" s="52"/>
      <c r="BK139" s="54"/>
    </row>
    <row r="140" spans="31:63" ht="12.75"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50"/>
      <c r="AS140" s="49"/>
      <c r="AT140" s="49"/>
      <c r="AU140" s="49"/>
      <c r="AV140" s="49"/>
      <c r="AW140" s="50"/>
      <c r="AX140" s="50"/>
      <c r="AY140" s="50"/>
      <c r="AZ140" s="50"/>
      <c r="BC140" s="55"/>
      <c r="BD140" s="55"/>
      <c r="BE140" s="56"/>
      <c r="BF140" s="52"/>
      <c r="BG140" s="53"/>
      <c r="BH140" s="52"/>
      <c r="BI140" s="52"/>
      <c r="BJ140" s="52"/>
      <c r="BK140" s="54"/>
    </row>
    <row r="141" spans="31:63" ht="12.75"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50"/>
      <c r="AS141" s="49"/>
      <c r="AT141" s="49"/>
      <c r="AU141" s="49"/>
      <c r="AV141" s="49"/>
      <c r="AW141" s="50"/>
      <c r="AX141" s="50"/>
      <c r="AY141" s="50"/>
      <c r="AZ141" s="50"/>
      <c r="BC141" s="55"/>
      <c r="BD141" s="55"/>
      <c r="BE141" s="56"/>
      <c r="BF141" s="52"/>
      <c r="BG141" s="53"/>
      <c r="BH141" s="52"/>
      <c r="BI141" s="52"/>
      <c r="BJ141" s="52"/>
      <c r="BK141" s="54"/>
    </row>
  </sheetData>
  <sheetProtection/>
  <dataValidations count="1">
    <dataValidation operator="greaterThanOrEqual" allowBlank="1" showInputMessage="1" showErrorMessage="1" sqref="T70 R55:S55 E75 R59 R61 U75 L75 I6 N75:O75 S78:T78 R71:T72 K6 E57:J57 R54:T54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1" sqref="R31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8:Q29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9" sqref="R29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:R28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6384" width="9.140625" style="57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Macaulay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Sheila Gibbs</cp:lastModifiedBy>
  <dcterms:created xsi:type="dcterms:W3CDTF">2009-02-06T11:24:40Z</dcterms:created>
  <dcterms:modified xsi:type="dcterms:W3CDTF">2012-02-03T11:37:45Z</dcterms:modified>
  <cp:category/>
  <cp:version/>
  <cp:contentType/>
  <cp:contentStatus/>
</cp:coreProperties>
</file>